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charts/chart2.xml" ContentType="application/vnd.openxmlformats-officedocument.drawingml.chart+xml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3591986F-1319-47F1-9F19-D2BE81EBF104}" xr6:coauthVersionLast="47" xr6:coauthVersionMax="47" xr10:uidLastSave="{00000000-0000-0000-0000-000000000000}"/>
  <bookViews>
    <workbookView xWindow="-120" yWindow="-120" windowWidth="29040" windowHeight="17520" firstSheet="1" activeTab="1" xr2:uid="{40B618F7-473A-4430-B26B-8294F9F33B92}"/>
  </bookViews>
  <sheets>
    <sheet name=".0" sheetId="23" state="hidden" r:id="rId1"/>
    <sheet name=".01" sheetId="1" r:id="rId2"/>
    <sheet name=".02" sheetId="2" r:id="rId3"/>
    <sheet name=".02cp2" sheetId="7" state="hidden" r:id="rId4"/>
    <sheet name=".03" sheetId="6" r:id="rId5"/>
    <sheet name=".04" sheetId="25" r:id="rId6"/>
    <sheet name="Life Table" sheetId="34" r:id="rId7"/>
    <sheet name=".06" sheetId="29" r:id="rId8"/>
    <sheet name=".01 Fig" sheetId="30" r:id="rId9"/>
    <sheet name=".07" sheetId="31" r:id="rId10"/>
    <sheet name=".08" sheetId="8" r:id="rId11"/>
    <sheet name=".09" sheetId="22" r:id="rId12"/>
    <sheet name=".10" sheetId="9" r:id="rId13"/>
    <sheet name=".11" sheetId="10" r:id="rId14"/>
    <sheet name=".12" sheetId="11" r:id="rId15"/>
    <sheet name=".13" sheetId="12" r:id="rId16"/>
    <sheet name="1.14" sheetId="32" r:id="rId17"/>
    <sheet name="1.15" sheetId="26" r:id="rId18"/>
  </sheets>
  <definedNames>
    <definedName name="_xlnm.Print_Area" localSheetId="0">'.0'!$C$1:$S$90</definedName>
    <definedName name="_xlnm.Print_Area" localSheetId="1">'.01'!$A$1:$I$50</definedName>
    <definedName name="_xlnm.Print_Area" localSheetId="8">'.01 Fig'!$A$1:$K$51</definedName>
    <definedName name="_xlnm.Print_Area" localSheetId="2">'.02'!$A$1:$I$50</definedName>
    <definedName name="_xlnm.Print_Area" localSheetId="3">'.02cp2'!$A$1:$H$52</definedName>
    <definedName name="_xlnm.Print_Area" localSheetId="4">'.03'!$A$1:$K$61</definedName>
    <definedName name="_xlnm.Print_Area" localSheetId="5">'.04'!$A$1:$M$71</definedName>
    <definedName name="_xlnm.Print_Area" localSheetId="7">'.06'!$A$1:$L$46</definedName>
    <definedName name="_xlnm.Print_Area" localSheetId="9">'.07'!$A$1:$I$55</definedName>
    <definedName name="_xlnm.Print_Area" localSheetId="10">'.08'!$A$1:$K$69</definedName>
    <definedName name="_xlnm.Print_Area" localSheetId="11">'.09'!$A$1:$N$48</definedName>
    <definedName name="_xlnm.Print_Area" localSheetId="12">'.10'!$A$1:$N$52</definedName>
    <definedName name="_xlnm.Print_Area" localSheetId="13">'.11'!$A$1:$K$51</definedName>
    <definedName name="_xlnm.Print_Area" localSheetId="14">'.12'!$A$1:$J$45</definedName>
    <definedName name="_xlnm.Print_Area" localSheetId="15">'.13'!$A$1:$F$51</definedName>
    <definedName name="_xlnm.Print_Area" localSheetId="16">'1.14'!$A$1:$K$55</definedName>
    <definedName name="_xlnm.Print_Area" localSheetId="17">'1.15'!$A$1:$J$50</definedName>
    <definedName name="_xlnm.Print_Area" localSheetId="6">'Life Table'!$A$1:$N$93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26" l="1"/>
  <c r="N13" i="26"/>
  <c r="N15" i="26"/>
  <c r="N17" i="26"/>
  <c r="N18" i="26"/>
  <c r="N19" i="26"/>
  <c r="N21" i="26"/>
  <c r="N23" i="26"/>
  <c r="N24" i="26"/>
  <c r="N11" i="26"/>
  <c r="Q18" i="32"/>
  <c r="Q19" i="32"/>
  <c r="Q20" i="32"/>
  <c r="Q21" i="32"/>
  <c r="Q22" i="32"/>
  <c r="Q24" i="32"/>
  <c r="Q16" i="32"/>
  <c r="Q14" i="32"/>
  <c r="F12" i="29"/>
  <c r="I12" i="29"/>
  <c r="F29" i="29"/>
  <c r="F35" i="29"/>
  <c r="I35" i="29"/>
  <c r="I23" i="29"/>
  <c r="I21" i="29"/>
  <c r="I22" i="29"/>
  <c r="I24" i="29"/>
  <c r="I25" i="29"/>
  <c r="I27" i="29"/>
  <c r="I28" i="29"/>
  <c r="I29" i="29"/>
  <c r="I30" i="29"/>
  <c r="I31" i="29"/>
  <c r="I33" i="29"/>
  <c r="I34" i="29"/>
  <c r="I36" i="29"/>
  <c r="I15" i="29"/>
  <c r="I16" i="29"/>
  <c r="I17" i="29"/>
  <c r="I18" i="29"/>
  <c r="I19" i="29"/>
  <c r="I14" i="29"/>
  <c r="F14" i="29"/>
  <c r="F15" i="29"/>
  <c r="F16" i="29"/>
  <c r="F17" i="29"/>
  <c r="F18" i="29"/>
  <c r="F19" i="29"/>
  <c r="F21" i="29"/>
  <c r="F22" i="29"/>
  <c r="F23" i="29"/>
  <c r="F24" i="29"/>
  <c r="F25" i="29"/>
  <c r="F27" i="29"/>
  <c r="F28" i="29"/>
  <c r="F30" i="29"/>
  <c r="F31" i="29"/>
  <c r="F33" i="29"/>
  <c r="F34" i="29"/>
  <c r="F36" i="29"/>
  <c r="J45" i="25"/>
  <c r="J44" i="25"/>
  <c r="H45" i="25"/>
  <c r="H44" i="25"/>
  <c r="F45" i="25"/>
  <c r="F44" i="25"/>
  <c r="F14" i="2"/>
  <c r="H15" i="2"/>
  <c r="H16" i="2"/>
  <c r="H17" i="2"/>
  <c r="H18" i="2"/>
  <c r="H19" i="2"/>
  <c r="H20" i="2"/>
  <c r="H21" i="2"/>
  <c r="H14" i="2"/>
  <c r="F21" i="2"/>
  <c r="F15" i="2"/>
  <c r="F16" i="2"/>
  <c r="F17" i="2"/>
  <c r="F18" i="2"/>
  <c r="F19" i="2"/>
  <c r="F20" i="2"/>
  <c r="D20" i="2"/>
  <c r="D14" i="2"/>
  <c r="D15" i="2"/>
  <c r="D16" i="2"/>
  <c r="D17" i="2"/>
  <c r="D18" i="2"/>
  <c r="D19" i="2"/>
  <c r="D21" i="2"/>
  <c r="H40" i="2"/>
  <c r="D40" i="2"/>
  <c r="D34" i="2"/>
  <c r="H35" i="2"/>
  <c r="H36" i="2"/>
  <c r="H37" i="2"/>
  <c r="H38" i="2"/>
  <c r="H39" i="2"/>
  <c r="H41" i="2"/>
  <c r="H34" i="2"/>
  <c r="F40" i="2"/>
  <c r="F34" i="2"/>
  <c r="F35" i="2"/>
  <c r="F36" i="2"/>
  <c r="F37" i="2"/>
  <c r="F38" i="2"/>
  <c r="F39" i="2"/>
  <c r="F41" i="2"/>
  <c r="D35" i="2"/>
  <c r="D36" i="2"/>
  <c r="D37" i="2"/>
  <c r="D38" i="2"/>
  <c r="D39" i="2"/>
  <c r="D41" i="2"/>
  <c r="H36" i="1"/>
  <c r="H33" i="1"/>
  <c r="H34" i="1"/>
  <c r="H35" i="1"/>
  <c r="H37" i="1"/>
  <c r="H32" i="1"/>
  <c r="F33" i="1"/>
  <c r="F34" i="1"/>
  <c r="F35" i="1"/>
  <c r="F36" i="1"/>
  <c r="F37" i="1"/>
  <c r="F32" i="1"/>
  <c r="D33" i="1"/>
  <c r="D34" i="1"/>
  <c r="D35" i="1"/>
  <c r="D36" i="1"/>
  <c r="D37" i="1"/>
  <c r="D32" i="1"/>
  <c r="H15" i="1"/>
  <c r="H16" i="1"/>
  <c r="H17" i="1"/>
  <c r="H18" i="1"/>
  <c r="H19" i="1"/>
  <c r="H14" i="1"/>
  <c r="F14" i="1"/>
  <c r="F19" i="1"/>
  <c r="F15" i="1"/>
  <c r="F16" i="1"/>
  <c r="F17" i="1"/>
  <c r="F18" i="1"/>
  <c r="D15" i="1"/>
  <c r="D14" i="1"/>
  <c r="D16" i="1"/>
  <c r="D17" i="1"/>
  <c r="D18" i="1"/>
  <c r="D19" i="1"/>
  <c r="F51" i="6"/>
  <c r="J51" i="6"/>
  <c r="I51" i="6"/>
  <c r="H51" i="6"/>
  <c r="K21" i="26"/>
  <c r="K13" i="26"/>
  <c r="N24" i="32"/>
  <c r="N22" i="32"/>
  <c r="N21" i="32"/>
  <c r="N20" i="32"/>
  <c r="N19" i="32"/>
  <c r="N18" i="32"/>
  <c r="M16" i="32"/>
  <c r="M14" i="32" s="1"/>
  <c r="L16" i="32"/>
  <c r="J50" i="6"/>
  <c r="H50" i="6"/>
  <c r="F50" i="6"/>
  <c r="F49" i="6"/>
  <c r="N16" i="32" l="1"/>
  <c r="L14" i="32"/>
  <c r="N14" i="32" s="1"/>
  <c r="K11" i="26"/>
  <c r="E314" i="34"/>
  <c r="E313" i="34"/>
  <c r="E312" i="34"/>
  <c r="E311" i="34"/>
  <c r="E310" i="34"/>
  <c r="E309" i="34"/>
  <c r="E308" i="34"/>
  <c r="E307" i="34"/>
  <c r="E306" i="34"/>
  <c r="E305" i="34"/>
  <c r="E304" i="34"/>
  <c r="E303" i="34"/>
  <c r="G296" i="34"/>
  <c r="F287" i="34"/>
  <c r="H280" i="34"/>
  <c r="G247" i="34"/>
  <c r="K268" i="34" s="1"/>
  <c r="C67" i="34"/>
  <c r="C66" i="34"/>
  <c r="C65" i="34"/>
  <c r="C64" i="34"/>
  <c r="C63" i="34"/>
  <c r="C62" i="34"/>
  <c r="C61" i="34"/>
  <c r="C60" i="34"/>
  <c r="C59" i="34"/>
  <c r="C58" i="34"/>
  <c r="C57" i="34"/>
  <c r="C56" i="34"/>
  <c r="C55" i="34"/>
  <c r="C54" i="34"/>
  <c r="J49" i="34"/>
  <c r="F47" i="34"/>
  <c r="F312" i="34"/>
  <c r="F353" i="34"/>
  <c r="F352" i="34"/>
  <c r="F351" i="34"/>
  <c r="F350" i="34"/>
  <c r="F349" i="34"/>
  <c r="F348" i="34"/>
  <c r="E348" i="34"/>
  <c r="F347" i="34"/>
  <c r="F346" i="34"/>
  <c r="E346" i="34"/>
  <c r="E345" i="34"/>
  <c r="F344" i="34"/>
  <c r="E344" i="34"/>
  <c r="F343" i="34"/>
  <c r="E343" i="34"/>
  <c r="G343" i="34" s="1"/>
  <c r="F342" i="34"/>
  <c r="E342" i="34"/>
  <c r="G342" i="34" s="1"/>
  <c r="F341" i="34"/>
  <c r="E341" i="34"/>
  <c r="F340" i="34"/>
  <c r="E340" i="34"/>
  <c r="F339" i="34"/>
  <c r="E339" i="34"/>
  <c r="G339" i="34" s="1"/>
  <c r="F338" i="34"/>
  <c r="E338" i="34"/>
  <c r="G338" i="34" s="1"/>
  <c r="F337" i="34"/>
  <c r="E337" i="34"/>
  <c r="F336" i="34"/>
  <c r="E336" i="34"/>
  <c r="F335" i="34"/>
  <c r="E335" i="34"/>
  <c r="F334" i="34"/>
  <c r="E334" i="34"/>
  <c r="G334" i="34" s="1"/>
  <c r="J334" i="34" s="1"/>
  <c r="E56" i="34" s="1"/>
  <c r="F333" i="34"/>
  <c r="E333" i="34"/>
  <c r="F332" i="34"/>
  <c r="L13" i="26" l="1"/>
  <c r="L19" i="26"/>
  <c r="L15" i="26"/>
  <c r="L24" i="26"/>
  <c r="L21" i="26"/>
  <c r="G335" i="34"/>
  <c r="J335" i="34" s="1"/>
  <c r="E57" i="34" s="1"/>
  <c r="L17" i="26"/>
  <c r="L16" i="26"/>
  <c r="L18" i="26"/>
  <c r="L23" i="26"/>
  <c r="H258" i="34"/>
  <c r="H265" i="34"/>
  <c r="H270" i="34"/>
  <c r="F314" i="34"/>
  <c r="G314" i="34"/>
  <c r="G57" i="34"/>
  <c r="I304" i="34" s="1"/>
  <c r="H304" i="34"/>
  <c r="G353" i="34"/>
  <c r="J353" i="34" s="1"/>
  <c r="D238" i="34"/>
  <c r="F345" i="34"/>
  <c r="H303" i="34"/>
  <c r="G56" i="34"/>
  <c r="I303" i="34" s="1"/>
  <c r="G348" i="34"/>
  <c r="G346" i="34"/>
  <c r="E349" i="34"/>
  <c r="G349" i="34" s="1"/>
  <c r="D239" i="34"/>
  <c r="F281" i="34"/>
  <c r="F291" i="34"/>
  <c r="D242" i="34"/>
  <c r="E352" i="34"/>
  <c r="E351" i="34"/>
  <c r="G351" i="34" s="1"/>
  <c r="D241" i="34"/>
  <c r="F273" i="34"/>
  <c r="E332" i="34"/>
  <c r="G336" i="34"/>
  <c r="G340" i="34"/>
  <c r="H339" i="34" s="1"/>
  <c r="I339" i="34" s="1"/>
  <c r="G344" i="34"/>
  <c r="H343" i="34" s="1"/>
  <c r="I343" i="34" s="1"/>
  <c r="D237" i="34"/>
  <c r="E347" i="34"/>
  <c r="G347" i="34" s="1"/>
  <c r="I352" i="34"/>
  <c r="J352" i="34" s="1"/>
  <c r="G352" i="34"/>
  <c r="F355" i="34"/>
  <c r="E350" i="34"/>
  <c r="D240" i="34"/>
  <c r="G54" i="34"/>
  <c r="G301" i="34"/>
  <c r="G333" i="34"/>
  <c r="J333" i="34" s="1"/>
  <c r="E55" i="34" s="1"/>
  <c r="G337" i="34"/>
  <c r="H338" i="34" s="1"/>
  <c r="I338" i="34" s="1"/>
  <c r="G341" i="34"/>
  <c r="H342" i="34" s="1"/>
  <c r="I342" i="34" s="1"/>
  <c r="G350" i="34"/>
  <c r="E353" i="34"/>
  <c r="D244" i="34"/>
  <c r="D243" i="34"/>
  <c r="G312" i="34"/>
  <c r="K258" i="34"/>
  <c r="K265" i="34"/>
  <c r="K270" i="34"/>
  <c r="H287" i="34" s="1"/>
  <c r="H259" i="34"/>
  <c r="F280" i="34" s="1"/>
  <c r="H266" i="34"/>
  <c r="F286" i="34" s="1"/>
  <c r="K259" i="34"/>
  <c r="K266" i="34"/>
  <c r="H286" i="34" s="1"/>
  <c r="H260" i="34"/>
  <c r="H267" i="34"/>
  <c r="K260" i="34"/>
  <c r="K267" i="34"/>
  <c r="H261" i="34"/>
  <c r="H268" i="34"/>
  <c r="K261" i="34"/>
  <c r="L11" i="26" l="1"/>
  <c r="F292" i="34"/>
  <c r="H340" i="34"/>
  <c r="I340" i="34" s="1"/>
  <c r="H302" i="34"/>
  <c r="F307" i="34"/>
  <c r="G307" i="34"/>
  <c r="H55" i="34"/>
  <c r="I54" i="34"/>
  <c r="I301" i="34"/>
  <c r="K301" i="34" s="1"/>
  <c r="F313" i="34"/>
  <c r="G313" i="34"/>
  <c r="D70" i="34"/>
  <c r="H347" i="34"/>
  <c r="I347" i="34" s="1"/>
  <c r="C70" i="34"/>
  <c r="F317" i="34"/>
  <c r="F70" i="34"/>
  <c r="E317" i="34"/>
  <c r="D317" i="34"/>
  <c r="F320" i="34"/>
  <c r="F73" i="34"/>
  <c r="E320" i="34"/>
  <c r="G320" i="34"/>
  <c r="H350" i="34"/>
  <c r="I350" i="34" s="1"/>
  <c r="D320" i="34"/>
  <c r="C73" i="34" s="1"/>
  <c r="D73" i="34"/>
  <c r="G315" i="34"/>
  <c r="F68" i="34"/>
  <c r="F315" i="34"/>
  <c r="D68" i="34"/>
  <c r="D315" i="34"/>
  <c r="E315" i="34" s="1"/>
  <c r="D357" i="34"/>
  <c r="C364" i="34" s="1"/>
  <c r="E357" i="34" s="1"/>
  <c r="H348" i="34"/>
  <c r="I348" i="34" s="1"/>
  <c r="F71" i="34"/>
  <c r="F318" i="34"/>
  <c r="D71" i="34"/>
  <c r="G318" i="34"/>
  <c r="C71" i="34"/>
  <c r="D318" i="34"/>
  <c r="E318" i="34" s="1"/>
  <c r="F305" i="34"/>
  <c r="G305" i="34"/>
  <c r="H341" i="34"/>
  <c r="F306" i="34"/>
  <c r="G306" i="34"/>
  <c r="E75" i="34"/>
  <c r="F75" i="34" s="1"/>
  <c r="D75" i="34"/>
  <c r="I322" i="34"/>
  <c r="G322" i="34"/>
  <c r="F322" i="34"/>
  <c r="E322" i="34"/>
  <c r="G75" i="34"/>
  <c r="D322" i="34"/>
  <c r="C75" i="34" s="1"/>
  <c r="F304" i="34"/>
  <c r="J304" i="34" s="1"/>
  <c r="G304" i="34"/>
  <c r="K304" i="34" s="1"/>
  <c r="H337" i="34"/>
  <c r="F302" i="34"/>
  <c r="J302" i="34" s="1"/>
  <c r="H336" i="34"/>
  <c r="F72" i="34"/>
  <c r="D72" i="34"/>
  <c r="G319" i="34"/>
  <c r="H349" i="34"/>
  <c r="I349" i="34" s="1"/>
  <c r="F319" i="34"/>
  <c r="D319" i="34"/>
  <c r="C72" i="34" s="1"/>
  <c r="H351" i="34"/>
  <c r="I351" i="34" s="1"/>
  <c r="G74" i="34"/>
  <c r="I321" i="34" s="1"/>
  <c r="F74" i="34"/>
  <c r="E74" i="34"/>
  <c r="H321" i="34" s="1"/>
  <c r="F321" i="34"/>
  <c r="J321" i="34" s="1"/>
  <c r="D74" i="34"/>
  <c r="C74" i="34"/>
  <c r="E321" i="34"/>
  <c r="D321" i="34"/>
  <c r="H292" i="34"/>
  <c r="F55" i="34" s="1"/>
  <c r="G55" i="34" s="1"/>
  <c r="I302" i="34" s="1"/>
  <c r="F311" i="34"/>
  <c r="G311" i="34"/>
  <c r="G345" i="34"/>
  <c r="H344" i="34" s="1"/>
  <c r="F303" i="34"/>
  <c r="J303" i="34" s="1"/>
  <c r="G303" i="34"/>
  <c r="K303" i="34" s="1"/>
  <c r="G332" i="34"/>
  <c r="J332" i="34" s="1"/>
  <c r="E355" i="34"/>
  <c r="F309" i="34"/>
  <c r="G309" i="34"/>
  <c r="F69" i="34"/>
  <c r="D69" i="34"/>
  <c r="C69" i="34"/>
  <c r="F316" i="34"/>
  <c r="G316" i="34"/>
  <c r="H346" i="34"/>
  <c r="I346" i="34" s="1"/>
  <c r="D316" i="34"/>
  <c r="E316" i="34" s="1"/>
  <c r="F310" i="34"/>
  <c r="G310" i="34"/>
  <c r="F289" i="34"/>
  <c r="F288" i="34"/>
  <c r="F308" i="34"/>
  <c r="G308" i="34"/>
  <c r="I344" i="34" l="1"/>
  <c r="H56" i="34"/>
  <c r="I55" i="34"/>
  <c r="J322" i="34"/>
  <c r="J348" i="34"/>
  <c r="E70" i="34" s="1"/>
  <c r="H317" i="34" s="1"/>
  <c r="J317" i="34" s="1"/>
  <c r="G317" i="34"/>
  <c r="F54" i="34"/>
  <c r="J54" i="34" s="1"/>
  <c r="H345" i="34"/>
  <c r="I345" i="34" s="1"/>
  <c r="J345" i="34" s="1"/>
  <c r="E67" i="34" s="1"/>
  <c r="I341" i="34"/>
  <c r="G321" i="34"/>
  <c r="K321" i="34" s="1"/>
  <c r="I337" i="34"/>
  <c r="I336" i="34"/>
  <c r="I357" i="34" s="1"/>
  <c r="J349" i="34" s="1"/>
  <c r="E71" i="34" s="1"/>
  <c r="H322" i="34"/>
  <c r="C68" i="34"/>
  <c r="E319" i="34"/>
  <c r="J337" i="34" l="1"/>
  <c r="E59" i="34" s="1"/>
  <c r="J341" i="34"/>
  <c r="E63" i="34" s="1"/>
  <c r="G63" i="34" s="1"/>
  <c r="I310" i="34" s="1"/>
  <c r="K310" i="34" s="1"/>
  <c r="J343" i="34"/>
  <c r="E65" i="34" s="1"/>
  <c r="H318" i="34"/>
  <c r="J318" i="34" s="1"/>
  <c r="G71" i="34"/>
  <c r="I318" i="34" s="1"/>
  <c r="K318" i="34" s="1"/>
  <c r="G65" i="34"/>
  <c r="I312" i="34" s="1"/>
  <c r="K312" i="34" s="1"/>
  <c r="H312" i="34"/>
  <c r="J312" i="34" s="1"/>
  <c r="H314" i="34"/>
  <c r="J314" i="34" s="1"/>
  <c r="G67" i="34"/>
  <c r="I314" i="34" s="1"/>
  <c r="K314" i="34" s="1"/>
  <c r="J55" i="34"/>
  <c r="K54" i="34" s="1"/>
  <c r="I56" i="34"/>
  <c r="H57" i="34"/>
  <c r="H306" i="34"/>
  <c r="J306" i="34" s="1"/>
  <c r="G59" i="34"/>
  <c r="I306" i="34" s="1"/>
  <c r="K306" i="34" s="1"/>
  <c r="J340" i="34"/>
  <c r="E62" i="34" s="1"/>
  <c r="J338" i="34"/>
  <c r="E60" i="34" s="1"/>
  <c r="J342" i="34"/>
  <c r="E64" i="34" s="1"/>
  <c r="E54" i="34"/>
  <c r="H301" i="34" s="1"/>
  <c r="F301" i="34"/>
  <c r="J346" i="34"/>
  <c r="E68" i="34" s="1"/>
  <c r="G70" i="34"/>
  <c r="I317" i="34" s="1"/>
  <c r="J336" i="34"/>
  <c r="E58" i="34" s="1"/>
  <c r="G302" i="34"/>
  <c r="K302" i="34" s="1"/>
  <c r="J347" i="34"/>
  <c r="E69" i="34" s="1"/>
  <c r="J350" i="34"/>
  <c r="E72" i="34" s="1"/>
  <c r="J351" i="34"/>
  <c r="E73" i="34" s="1"/>
  <c r="J344" i="34"/>
  <c r="E66" i="34" s="1"/>
  <c r="J339" i="34"/>
  <c r="E61" i="34" s="1"/>
  <c r="H310" i="34"/>
  <c r="J310" i="34" s="1"/>
  <c r="K317" i="34"/>
  <c r="H311" i="34" l="1"/>
  <c r="J311" i="34" s="1"/>
  <c r="G64" i="34"/>
  <c r="I311" i="34" s="1"/>
  <c r="K311" i="34" s="1"/>
  <c r="H307" i="34"/>
  <c r="J307" i="34" s="1"/>
  <c r="G60" i="34"/>
  <c r="I307" i="34" s="1"/>
  <c r="K307" i="34" s="1"/>
  <c r="G62" i="34"/>
  <c r="I309" i="34" s="1"/>
  <c r="K309" i="34" s="1"/>
  <c r="H309" i="34"/>
  <c r="J309" i="34" s="1"/>
  <c r="G61" i="34"/>
  <c r="I308" i="34" s="1"/>
  <c r="K308" i="34" s="1"/>
  <c r="H308" i="34"/>
  <c r="J308" i="34" s="1"/>
  <c r="H305" i="34"/>
  <c r="J305" i="34" s="1"/>
  <c r="G58" i="34"/>
  <c r="I305" i="34" s="1"/>
  <c r="K305" i="34" s="1"/>
  <c r="K324" i="34" s="1"/>
  <c r="H316" i="34"/>
  <c r="J316" i="34" s="1"/>
  <c r="G69" i="34"/>
  <c r="I316" i="34" s="1"/>
  <c r="K316" i="34" s="1"/>
  <c r="H315" i="34"/>
  <c r="J315" i="34" s="1"/>
  <c r="G68" i="34"/>
  <c r="I315" i="34" s="1"/>
  <c r="K315" i="34" s="1"/>
  <c r="H58" i="34"/>
  <c r="I57" i="34"/>
  <c r="J56" i="34"/>
  <c r="K55" i="34" s="1"/>
  <c r="H313" i="34"/>
  <c r="J313" i="34" s="1"/>
  <c r="G66" i="34"/>
  <c r="I313" i="34" s="1"/>
  <c r="K313" i="34" s="1"/>
  <c r="H320" i="34"/>
  <c r="J320" i="34" s="1"/>
  <c r="G73" i="34"/>
  <c r="I320" i="34" s="1"/>
  <c r="K320" i="34" s="1"/>
  <c r="G72" i="34"/>
  <c r="I319" i="34" s="1"/>
  <c r="K319" i="34" s="1"/>
  <c r="H319" i="34"/>
  <c r="J319" i="34" s="1"/>
  <c r="J301" i="34"/>
  <c r="J324" i="34" l="1"/>
  <c r="H59" i="34"/>
  <c r="I58" i="34"/>
  <c r="J57" i="34"/>
  <c r="K56" i="34" s="1"/>
  <c r="H60" i="34" l="1"/>
  <c r="I59" i="34"/>
  <c r="J58" i="34"/>
  <c r="K57" i="34" s="1"/>
  <c r="H61" i="34" l="1"/>
  <c r="I60" i="34"/>
  <c r="J59" i="34"/>
  <c r="K58" i="34" s="1"/>
  <c r="H62" i="34" l="1"/>
  <c r="I61" i="34"/>
  <c r="J60" i="34"/>
  <c r="K59" i="34" s="1"/>
  <c r="H63" i="34" l="1"/>
  <c r="I62" i="34"/>
  <c r="J61" i="34"/>
  <c r="K60" i="34" s="1"/>
  <c r="H64" i="34" l="1"/>
  <c r="I63" i="34"/>
  <c r="J62" i="34"/>
  <c r="K61" i="34" s="1"/>
  <c r="J63" i="34" l="1"/>
  <c r="K62" i="34" s="1"/>
  <c r="I64" i="34"/>
  <c r="H65" i="34"/>
  <c r="H66" i="34" l="1"/>
  <c r="I65" i="34"/>
  <c r="J64" i="34"/>
  <c r="K63" i="34" s="1"/>
  <c r="H67" i="34" l="1"/>
  <c r="I66" i="34"/>
  <c r="J65" i="34"/>
  <c r="K64" i="34" s="1"/>
  <c r="I67" i="34" l="1"/>
  <c r="J66" i="34"/>
  <c r="K65" i="34" s="1"/>
  <c r="H68" i="34"/>
  <c r="J67" i="34" l="1"/>
  <c r="K66" i="34" s="1"/>
  <c r="H69" i="34"/>
  <c r="I68" i="34"/>
  <c r="J68" i="34" l="1"/>
  <c r="K67" i="34" s="1"/>
  <c r="I69" i="34"/>
  <c r="H70" i="34"/>
  <c r="J69" i="34" l="1"/>
  <c r="K68" i="34" s="1"/>
  <c r="I70" i="34"/>
  <c r="H71" i="34"/>
  <c r="J70" i="34" l="1"/>
  <c r="K69" i="34" s="1"/>
  <c r="H72" i="34"/>
  <c r="I71" i="34"/>
  <c r="I72" i="34" l="1"/>
  <c r="J71" i="34"/>
  <c r="K70" i="34" s="1"/>
  <c r="H73" i="34"/>
  <c r="H74" i="34" l="1"/>
  <c r="J72" i="34"/>
  <c r="K71" i="34" s="1"/>
  <c r="I73" i="34"/>
  <c r="H75" i="34" l="1"/>
  <c r="J73" i="34"/>
  <c r="K72" i="34" s="1"/>
  <c r="I74" i="34"/>
  <c r="J74" i="34" l="1"/>
  <c r="K73" i="34" s="1"/>
  <c r="I75" i="34"/>
  <c r="J75" i="34"/>
  <c r="L75" i="34" s="1"/>
  <c r="L74" i="34" l="1"/>
  <c r="K74" i="34" s="1"/>
  <c r="M75" i="34"/>
  <c r="M74" i="34" l="1"/>
  <c r="L73" i="34"/>
  <c r="L72" i="34" l="1"/>
  <c r="M73" i="34"/>
  <c r="L71" i="34" l="1"/>
  <c r="M72" i="34"/>
  <c r="M71" i="34" l="1"/>
  <c r="L70" i="34"/>
  <c r="L69" i="34" l="1"/>
  <c r="M70" i="34"/>
  <c r="M69" i="34" l="1"/>
  <c r="L68" i="34"/>
  <c r="L67" i="34" l="1"/>
  <c r="M68" i="34"/>
  <c r="M67" i="34" l="1"/>
  <c r="L66" i="34"/>
  <c r="M66" i="34" l="1"/>
  <c r="L65" i="34"/>
  <c r="M65" i="34" l="1"/>
  <c r="L64" i="34"/>
  <c r="M64" i="34" l="1"/>
  <c r="L63" i="34"/>
  <c r="M63" i="34" l="1"/>
  <c r="L62" i="34"/>
  <c r="M62" i="34" l="1"/>
  <c r="L61" i="34"/>
  <c r="L60" i="34" l="1"/>
  <c r="M61" i="34"/>
  <c r="L59" i="34" l="1"/>
  <c r="M60" i="34"/>
  <c r="M59" i="34" l="1"/>
  <c r="L58" i="34"/>
  <c r="M58" i="34" l="1"/>
  <c r="L57" i="34"/>
  <c r="M57" i="34" l="1"/>
  <c r="L56" i="34"/>
  <c r="M56" i="34" l="1"/>
  <c r="L55" i="34"/>
  <c r="M55" i="34" l="1"/>
  <c r="L54" i="34"/>
  <c r="M54" i="34" s="1"/>
  <c r="J43" i="25" l="1"/>
  <c r="H43" i="25"/>
  <c r="C34" i="26" l="1"/>
  <c r="C30" i="26"/>
  <c r="C31" i="26"/>
  <c r="C32" i="26"/>
  <c r="C33" i="26"/>
  <c r="C29" i="26"/>
  <c r="I21" i="26"/>
  <c r="I13" i="26"/>
  <c r="K24" i="32"/>
  <c r="I16" i="32"/>
  <c r="I11" i="26" l="1"/>
  <c r="J13" i="26" s="1"/>
  <c r="J21" i="26" l="1"/>
  <c r="J11" i="26" s="1"/>
  <c r="K22" i="32" l="1"/>
  <c r="K21" i="32"/>
  <c r="K20" i="32"/>
  <c r="K19" i="32"/>
  <c r="K18" i="32"/>
  <c r="J16" i="32"/>
  <c r="K16" i="32" s="1"/>
  <c r="J14" i="32" l="1"/>
  <c r="I14" i="32"/>
  <c r="F43" i="25"/>
  <c r="F42" i="25"/>
  <c r="J49" i="6"/>
  <c r="H49" i="6"/>
  <c r="K14" i="32" l="1"/>
  <c r="G21" i="26"/>
  <c r="G13" i="26"/>
  <c r="G11" i="26" s="1"/>
  <c r="H24" i="32"/>
  <c r="H22" i="32"/>
  <c r="H21" i="32"/>
  <c r="H20" i="32"/>
  <c r="H19" i="32"/>
  <c r="H18" i="32"/>
  <c r="G16" i="32"/>
  <c r="F16" i="32"/>
  <c r="F14" i="32" s="1"/>
  <c r="G13" i="10"/>
  <c r="M24" i="9"/>
  <c r="M22" i="9"/>
  <c r="M20" i="9"/>
  <c r="M18" i="9"/>
  <c r="M16" i="9"/>
  <c r="M14" i="9"/>
  <c r="J24" i="9"/>
  <c r="J22" i="9"/>
  <c r="J20" i="9"/>
  <c r="J18" i="9"/>
  <c r="J16" i="9"/>
  <c r="J14" i="9"/>
  <c r="M12" i="22"/>
  <c r="D16" i="8"/>
  <c r="D18" i="8"/>
  <c r="D22" i="8"/>
  <c r="D23" i="8"/>
  <c r="D21" i="8"/>
  <c r="D17" i="8"/>
  <c r="D11" i="8"/>
  <c r="D12" i="8"/>
  <c r="D13" i="8"/>
  <c r="D10" i="8"/>
  <c r="E24" i="31"/>
  <c r="H21" i="26" l="1"/>
  <c r="H13" i="26"/>
  <c r="H16" i="32"/>
  <c r="G14" i="32"/>
  <c r="H14" i="32" s="1"/>
  <c r="N34" i="22"/>
  <c r="N12" i="22"/>
  <c r="N35" i="22"/>
  <c r="N22" i="22"/>
  <c r="N23" i="22"/>
  <c r="N26" i="22"/>
  <c r="N15" i="22"/>
  <c r="N17" i="22"/>
  <c r="N32" i="22"/>
  <c r="N24" i="22"/>
  <c r="N14" i="22"/>
  <c r="N29" i="22"/>
  <c r="N16" i="22"/>
  <c r="N18" i="22"/>
  <c r="N33" i="22"/>
  <c r="N21" i="22"/>
  <c r="N27" i="22"/>
  <c r="N28" i="22"/>
  <c r="N30" i="22"/>
  <c r="N20" i="22"/>
  <c r="D15" i="8"/>
  <c r="D20" i="8"/>
  <c r="H11" i="26" l="1"/>
  <c r="J42" i="25"/>
  <c r="H42" i="25"/>
  <c r="F41" i="25"/>
  <c r="J48" i="6"/>
  <c r="H48" i="6"/>
  <c r="F48" i="6"/>
  <c r="E21" i="26" l="1"/>
  <c r="E13" i="26"/>
  <c r="E24" i="32"/>
  <c r="E22" i="32"/>
  <c r="E21" i="32"/>
  <c r="E20" i="32"/>
  <c r="E19" i="32"/>
  <c r="E18" i="32"/>
  <c r="C16" i="32"/>
  <c r="C14" i="32" s="1"/>
  <c r="D16" i="32"/>
  <c r="D14" i="32" s="1"/>
  <c r="J41" i="25"/>
  <c r="H41" i="25"/>
  <c r="H47" i="6"/>
  <c r="F47" i="6"/>
  <c r="F45" i="6"/>
  <c r="E14" i="32" l="1"/>
  <c r="E16" i="32"/>
  <c r="E11" i="26"/>
  <c r="F21" i="26" s="1"/>
  <c r="C13" i="26"/>
  <c r="C21" i="26"/>
  <c r="F13" i="26" l="1"/>
  <c r="F11" i="26" s="1"/>
  <c r="C11" i="26"/>
  <c r="D13" i="26" s="1"/>
  <c r="D21" i="26" l="1"/>
  <c r="D24" i="26"/>
  <c r="D23" i="26"/>
  <c r="D19" i="26"/>
  <c r="D18" i="26"/>
  <c r="D17" i="26"/>
  <c r="D16" i="26"/>
  <c r="D15" i="26"/>
  <c r="D11" i="26"/>
  <c r="J39" i="25"/>
  <c r="H39" i="25"/>
  <c r="F39" i="25"/>
  <c r="I45" i="6"/>
  <c r="J45" i="6" s="1"/>
  <c r="H45" i="6"/>
  <c r="C35" i="26" l="1"/>
  <c r="E10" i="6"/>
  <c r="J10" i="6" s="1"/>
  <c r="H10" i="6"/>
  <c r="F10" i="6" l="1"/>
  <c r="H38" i="25" l="1"/>
  <c r="J38" i="25"/>
  <c r="F38" i="25"/>
  <c r="J44" i="6"/>
  <c r="H44" i="6"/>
  <c r="F44" i="6"/>
  <c r="J37" i="25" l="1"/>
  <c r="H37" i="25"/>
  <c r="F37" i="25"/>
  <c r="H43" i="6"/>
  <c r="F43" i="6"/>
  <c r="I43" i="6"/>
  <c r="J43" i="6" s="1"/>
  <c r="J36" i="25" l="1"/>
  <c r="H36" i="25"/>
  <c r="F36" i="25"/>
  <c r="F35" i="25"/>
  <c r="J42" i="6"/>
  <c r="H42" i="6"/>
  <c r="H41" i="6"/>
  <c r="F42" i="6"/>
  <c r="F41" i="6"/>
  <c r="J35" i="25" l="1"/>
  <c r="H35" i="25"/>
  <c r="J41" i="6"/>
  <c r="J33" i="25" l="1"/>
  <c r="H33" i="25"/>
  <c r="F33" i="25"/>
  <c r="F39" i="6"/>
  <c r="H39" i="6"/>
  <c r="J39" i="6"/>
  <c r="J32" i="25"/>
  <c r="H32" i="25"/>
  <c r="F32" i="25"/>
  <c r="J38" i="6"/>
  <c r="H38" i="6"/>
  <c r="F38" i="6"/>
  <c r="L14" i="9"/>
  <c r="L16" i="9"/>
  <c r="L18" i="9"/>
  <c r="L20" i="9"/>
  <c r="L22" i="9"/>
  <c r="L24" i="9"/>
  <c r="L35" i="22"/>
  <c r="G17" i="11"/>
  <c r="J31" i="25"/>
  <c r="H31" i="25"/>
  <c r="J37" i="6"/>
  <c r="H37" i="6"/>
  <c r="E13" i="31"/>
  <c r="E14" i="31"/>
  <c r="E15" i="31"/>
  <c r="E16" i="31"/>
  <c r="E17" i="31"/>
  <c r="E18" i="31"/>
  <c r="E19" i="31"/>
  <c r="E20" i="31"/>
  <c r="E21" i="31"/>
  <c r="E23" i="31"/>
  <c r="E22" i="31"/>
  <c r="G21" i="6"/>
  <c r="I21" i="6" s="1"/>
  <c r="J21" i="6" s="1"/>
  <c r="E30" i="6"/>
  <c r="E31" i="6"/>
  <c r="H31" i="6" s="1"/>
  <c r="E32" i="6"/>
  <c r="H32" i="6" s="1"/>
  <c r="E33" i="6"/>
  <c r="J33" i="6"/>
  <c r="E35" i="6"/>
  <c r="J35" i="6" s="1"/>
  <c r="E36" i="6"/>
  <c r="F37" i="6" s="1"/>
  <c r="E25" i="25"/>
  <c r="J25" i="25" s="1"/>
  <c r="E26" i="25"/>
  <c r="J26" i="25" s="1"/>
  <c r="E27" i="25"/>
  <c r="J27" i="25" s="1"/>
  <c r="E29" i="25"/>
  <c r="H29" i="25" s="1"/>
  <c r="E30" i="25"/>
  <c r="F31" i="25" s="1"/>
  <c r="E24" i="25"/>
  <c r="J24" i="25" s="1"/>
  <c r="E23" i="25"/>
  <c r="H23" i="25" s="1"/>
  <c r="E21" i="25"/>
  <c r="H21" i="25" s="1"/>
  <c r="E20" i="25"/>
  <c r="J20" i="25" s="1"/>
  <c r="E19" i="25"/>
  <c r="E18" i="25"/>
  <c r="H18" i="25" s="1"/>
  <c r="E17" i="25"/>
  <c r="H17" i="25"/>
  <c r="E15" i="25"/>
  <c r="J15" i="25" s="1"/>
  <c r="E14" i="25"/>
  <c r="J14" i="25" s="1"/>
  <c r="E13" i="25"/>
  <c r="H13" i="25" s="1"/>
  <c r="E12" i="25"/>
  <c r="H12" i="25" s="1"/>
  <c r="E11" i="25"/>
  <c r="J11" i="25" s="1"/>
  <c r="L14" i="22"/>
  <c r="L15" i="22"/>
  <c r="L16" i="22"/>
  <c r="L17" i="22"/>
  <c r="L18" i="22"/>
  <c r="L20" i="22"/>
  <c r="L21" i="22"/>
  <c r="L22" i="22"/>
  <c r="L23" i="22"/>
  <c r="L24" i="22"/>
  <c r="L26" i="22"/>
  <c r="L27" i="22"/>
  <c r="L28" i="22"/>
  <c r="L29" i="22"/>
  <c r="L30" i="22"/>
  <c r="L32" i="22"/>
  <c r="L33" i="22"/>
  <c r="L34" i="22"/>
  <c r="L12" i="22"/>
  <c r="I12" i="22"/>
  <c r="J33" i="22" s="1"/>
  <c r="G12" i="22"/>
  <c r="H15" i="22" s="1"/>
  <c r="E12" i="22"/>
  <c r="F18" i="22" s="1"/>
  <c r="C12" i="22"/>
  <c r="D15" i="22" s="1"/>
  <c r="I17" i="10"/>
  <c r="G17" i="10"/>
  <c r="E17" i="10"/>
  <c r="I16" i="10"/>
  <c r="G16" i="10"/>
  <c r="E16" i="10"/>
  <c r="I15" i="10"/>
  <c r="G15" i="10"/>
  <c r="E15" i="10"/>
  <c r="I13" i="10"/>
  <c r="E13" i="10"/>
  <c r="K12" i="9"/>
  <c r="K14" i="9"/>
  <c r="K16" i="9"/>
  <c r="K18" i="9"/>
  <c r="K20" i="9"/>
  <c r="K22" i="9"/>
  <c r="K24" i="9"/>
  <c r="I24" i="9"/>
  <c r="I22" i="9"/>
  <c r="I20" i="9"/>
  <c r="I18" i="9"/>
  <c r="I16" i="9"/>
  <c r="I14" i="9"/>
  <c r="F12" i="9"/>
  <c r="E29" i="6"/>
  <c r="J29" i="6" s="1"/>
  <c r="J27" i="6"/>
  <c r="H27" i="6"/>
  <c r="F27" i="6"/>
  <c r="J26" i="6"/>
  <c r="H26" i="6"/>
  <c r="F26" i="6"/>
  <c r="J25" i="6"/>
  <c r="F25" i="6"/>
  <c r="G24" i="6"/>
  <c r="H24" i="6" s="1"/>
  <c r="F24" i="6"/>
  <c r="G23" i="6"/>
  <c r="H23" i="6" s="1"/>
  <c r="F23" i="6"/>
  <c r="F21" i="6"/>
  <c r="G20" i="6"/>
  <c r="I20" i="6" s="1"/>
  <c r="J20" i="6" s="1"/>
  <c r="F20" i="6"/>
  <c r="G19" i="6"/>
  <c r="H19" i="6" s="1"/>
  <c r="F19" i="6"/>
  <c r="J18" i="6"/>
  <c r="G18" i="6"/>
  <c r="H18" i="6" s="1"/>
  <c r="E17" i="6"/>
  <c r="F18" i="6" s="1"/>
  <c r="E15" i="6"/>
  <c r="H15" i="6" s="1"/>
  <c r="E14" i="6"/>
  <c r="H14" i="6" s="1"/>
  <c r="E13" i="6"/>
  <c r="J13" i="6" s="1"/>
  <c r="E12" i="6"/>
  <c r="J12" i="6" s="1"/>
  <c r="E11" i="6"/>
  <c r="J11" i="6" s="1"/>
  <c r="F17" i="22"/>
  <c r="J26" i="22"/>
  <c r="F21" i="22" l="1"/>
  <c r="D24" i="22"/>
  <c r="F34" i="22"/>
  <c r="H23" i="22"/>
  <c r="J15" i="22"/>
  <c r="J23" i="25"/>
  <c r="J12" i="9"/>
  <c r="L12" i="9"/>
  <c r="I12" i="9"/>
  <c r="M12" i="9"/>
  <c r="F33" i="6"/>
  <c r="H20" i="25"/>
  <c r="H35" i="6"/>
  <c r="F33" i="22"/>
  <c r="J32" i="22"/>
  <c r="J18" i="22"/>
  <c r="J34" i="22"/>
  <c r="J21" i="22"/>
  <c r="H21" i="6"/>
  <c r="J12" i="22"/>
  <c r="J35" i="22"/>
  <c r="J16" i="22"/>
  <c r="F23" i="22"/>
  <c r="J28" i="22"/>
  <c r="J14" i="22"/>
  <c r="J30" i="22"/>
  <c r="H30" i="22"/>
  <c r="H14" i="22"/>
  <c r="H32" i="22"/>
  <c r="H16" i="22"/>
  <c r="H34" i="22"/>
  <c r="H21" i="22"/>
  <c r="F12" i="25"/>
  <c r="F27" i="22"/>
  <c r="F12" i="22"/>
  <c r="H14" i="25"/>
  <c r="J13" i="25"/>
  <c r="F13" i="25"/>
  <c r="H11" i="25"/>
  <c r="H15" i="25"/>
  <c r="H30" i="25"/>
  <c r="H12" i="22"/>
  <c r="D32" i="22"/>
  <c r="H18" i="22"/>
  <c r="F29" i="22"/>
  <c r="F15" i="22"/>
  <c r="F18" i="25"/>
  <c r="F19" i="25"/>
  <c r="F22" i="22"/>
  <c r="F24" i="22"/>
  <c r="J23" i="22"/>
  <c r="F29" i="25"/>
  <c r="D23" i="22"/>
  <c r="H20" i="22"/>
  <c r="H29" i="22"/>
  <c r="J17" i="22"/>
  <c r="F21" i="25"/>
  <c r="F28" i="22"/>
  <c r="F20" i="22"/>
  <c r="D14" i="22"/>
  <c r="H17" i="22"/>
  <c r="H27" i="22"/>
  <c r="J19" i="25"/>
  <c r="J17" i="25"/>
  <c r="H22" i="22"/>
  <c r="F26" i="22"/>
  <c r="H24" i="22"/>
  <c r="J27" i="22"/>
  <c r="F14" i="22"/>
  <c r="J22" i="22"/>
  <c r="H26" i="22"/>
  <c r="F30" i="22"/>
  <c r="J29" i="22"/>
  <c r="F16" i="22"/>
  <c r="J18" i="25"/>
  <c r="F20" i="25"/>
  <c r="H33" i="22"/>
  <c r="J20" i="22"/>
  <c r="J24" i="22"/>
  <c r="H28" i="22"/>
  <c r="F32" i="22"/>
  <c r="J14" i="6"/>
  <c r="J36" i="6"/>
  <c r="H11" i="6"/>
  <c r="J17" i="6"/>
  <c r="H36" i="6"/>
  <c r="J31" i="6"/>
  <c r="F31" i="6"/>
  <c r="I19" i="6"/>
  <c r="J19" i="6" s="1"/>
  <c r="H30" i="6"/>
  <c r="F35" i="6"/>
  <c r="F30" i="6"/>
  <c r="F36" i="6"/>
  <c r="F14" i="6"/>
  <c r="H17" i="6"/>
  <c r="F29" i="6"/>
  <c r="I23" i="6"/>
  <c r="J23" i="6" s="1"/>
  <c r="H29" i="6"/>
  <c r="F32" i="6"/>
  <c r="F11" i="6"/>
  <c r="H20" i="6"/>
  <c r="H13" i="6"/>
  <c r="F12" i="6"/>
  <c r="F15" i="6"/>
  <c r="H12" i="6"/>
  <c r="J15" i="6"/>
  <c r="J32" i="6"/>
  <c r="H33" i="6"/>
  <c r="F17" i="6"/>
  <c r="D17" i="22"/>
  <c r="D26" i="22"/>
  <c r="D34" i="22"/>
  <c r="D16" i="22"/>
  <c r="D27" i="22"/>
  <c r="D20" i="22"/>
  <c r="D28" i="22"/>
  <c r="D12" i="22"/>
  <c r="D18" i="22"/>
  <c r="D29" i="22"/>
  <c r="D22" i="22"/>
  <c r="D30" i="22"/>
  <c r="D21" i="22"/>
  <c r="D33" i="22"/>
  <c r="J21" i="25"/>
  <c r="H26" i="25"/>
  <c r="J12" i="25"/>
  <c r="F17" i="25"/>
  <c r="F26" i="25"/>
  <c r="H19" i="25"/>
  <c r="F15" i="25"/>
  <c r="J29" i="25"/>
  <c r="F13" i="6"/>
  <c r="I24" i="6"/>
  <c r="J24" i="6" s="1"/>
  <c r="F24" i="25"/>
  <c r="H24" i="25"/>
  <c r="F25" i="25"/>
  <c r="F14" i="25"/>
  <c r="H27" i="25"/>
  <c r="F27" i="25"/>
  <c r="F30" i="25"/>
  <c r="H25" i="25"/>
  <c r="J30" i="25"/>
  <c r="J30" i="6"/>
</calcChain>
</file>

<file path=xl/sharedStrings.xml><?xml version="1.0" encoding="utf-8"?>
<sst xmlns="http://schemas.openxmlformats.org/spreadsheetml/2006/main" count="891" uniqueCount="316">
  <si>
    <t>District</t>
  </si>
  <si>
    <t>Total</t>
  </si>
  <si>
    <t>Male</t>
  </si>
  <si>
    <t>Female</t>
  </si>
  <si>
    <t>#</t>
  </si>
  <si>
    <t>%</t>
  </si>
  <si>
    <t>George Town</t>
  </si>
  <si>
    <t>West Bay</t>
  </si>
  <si>
    <t>Bodden Town</t>
  </si>
  <si>
    <t>East End</t>
  </si>
  <si>
    <t>North Side</t>
  </si>
  <si>
    <t>Sister Islands</t>
  </si>
  <si>
    <t>Caymanian</t>
  </si>
  <si>
    <t>Non-Caymanian</t>
  </si>
  <si>
    <t>0-14</t>
  </si>
  <si>
    <t>15-24</t>
  </si>
  <si>
    <t>25-34</t>
  </si>
  <si>
    <t>35-44</t>
  </si>
  <si>
    <t>45-54</t>
  </si>
  <si>
    <t>55-64</t>
  </si>
  <si>
    <t>65+</t>
  </si>
  <si>
    <t>Cayman Islands</t>
  </si>
  <si>
    <t>Year</t>
  </si>
  <si>
    <t>Resident Population</t>
  </si>
  <si>
    <t>Annual Increase</t>
  </si>
  <si>
    <t xml:space="preserve">Caymanian </t>
  </si>
  <si>
    <t xml:space="preserve">Non-Caymanian </t>
  </si>
  <si>
    <t>*</t>
  </si>
  <si>
    <t>**</t>
  </si>
  <si>
    <t xml:space="preserve">1.01a </t>
  </si>
  <si>
    <t>1.01b</t>
  </si>
  <si>
    <t>Notes:</t>
  </si>
  <si>
    <t xml:space="preserve">* </t>
  </si>
  <si>
    <t xml:space="preserve">End of year estimate includes Grand Cayman (post Hurricane Ivan) and Cayman Brac estimate. The drop </t>
  </si>
  <si>
    <t>The sharp increase in population is related to the return of residents who left after Ivan, and the increase in</t>
  </si>
  <si>
    <t xml:space="preserve">the labour force needed for the reconstruction of the country. </t>
  </si>
  <si>
    <t>1.02c</t>
  </si>
  <si>
    <t xml:space="preserve">1.02b 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</si>
  <si>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 Economics and Statistics Office (ESO)</t>
    </r>
  </si>
  <si>
    <t>Annual % growth</t>
  </si>
  <si>
    <t xml:space="preserve">Percentage growth </t>
  </si>
  <si>
    <t>Note:</t>
  </si>
  <si>
    <t>Annual % growth is calculated using the formula for geometric growth</t>
  </si>
  <si>
    <t>Area</t>
  </si>
  <si>
    <t>Island</t>
  </si>
  <si>
    <t>Sq. miles</t>
  </si>
  <si>
    <t>Population</t>
  </si>
  <si>
    <t>Density</t>
  </si>
  <si>
    <t>Grand Cayman</t>
  </si>
  <si>
    <t>Cayman Brac</t>
  </si>
  <si>
    <t>Little Cayman</t>
  </si>
  <si>
    <t>Age Group</t>
  </si>
  <si>
    <t>&lt;15</t>
  </si>
  <si>
    <t>15-64</t>
  </si>
  <si>
    <t>Dependency ratio</t>
  </si>
  <si>
    <t xml:space="preserve"> </t>
  </si>
  <si>
    <t xml:space="preserve">The dependency ratio is the number of persons under the age of 15 and over the age of 64 divided </t>
  </si>
  <si>
    <t>Country</t>
  </si>
  <si>
    <t xml:space="preserve">Census year </t>
  </si>
  <si>
    <t>Belize</t>
  </si>
  <si>
    <t>Barbados</t>
  </si>
  <si>
    <t>Bermuda</t>
  </si>
  <si>
    <t>Guyana</t>
  </si>
  <si>
    <t>Jamaica</t>
  </si>
  <si>
    <t>Saint Lucia</t>
  </si>
  <si>
    <t>Suriname</t>
  </si>
  <si>
    <t>Number</t>
  </si>
  <si>
    <t>Percent</t>
  </si>
  <si>
    <t>Not Stated</t>
  </si>
  <si>
    <t>15 - 19</t>
  </si>
  <si>
    <t>-</t>
  </si>
  <si>
    <t>20 - 24</t>
  </si>
  <si>
    <t>25 - 29</t>
  </si>
  <si>
    <t>30 - 34</t>
  </si>
  <si>
    <t>35 - 39</t>
  </si>
  <si>
    <t>40 - 44</t>
  </si>
  <si>
    <t>45 - 49</t>
  </si>
  <si>
    <t>70 - 74</t>
  </si>
  <si>
    <t>75 - 79</t>
  </si>
  <si>
    <t>80 - 84</t>
  </si>
  <si>
    <t>85+</t>
  </si>
  <si>
    <t xml:space="preserve"> 0  -  4</t>
  </si>
  <si>
    <t xml:space="preserve"> 5  -  9</t>
  </si>
  <si>
    <t>10 - 14</t>
  </si>
  <si>
    <t>50 - 54</t>
  </si>
  <si>
    <t>55 - 59</t>
  </si>
  <si>
    <t>60 - 64</t>
  </si>
  <si>
    <t>65 - 69</t>
  </si>
  <si>
    <t>NS</t>
  </si>
  <si>
    <t>STATISTICAL COMPENDIUM 2008</t>
  </si>
  <si>
    <t>POPULATION AND VITAL STATISTICS</t>
  </si>
  <si>
    <t>15 - 29</t>
  </si>
  <si>
    <t>0 - 14</t>
  </si>
  <si>
    <t>30 - 49</t>
  </si>
  <si>
    <t>50 - 64</t>
  </si>
  <si>
    <t>2010            Cayman Islands</t>
  </si>
  <si>
    <t>Non Caymanian</t>
  </si>
  <si>
    <t>Under 1 year</t>
  </si>
  <si>
    <t>Total Population</t>
  </si>
  <si>
    <t>Age group</t>
  </si>
  <si>
    <t>Annual Growth</t>
  </si>
  <si>
    <t xml:space="preserve">Percent Growth </t>
  </si>
  <si>
    <t xml:space="preserve">Population density is measured as persons per square mile. </t>
  </si>
  <si>
    <t xml:space="preserve">Cayman Islands </t>
  </si>
  <si>
    <t xml:space="preserve">Grand Cayman </t>
  </si>
  <si>
    <t xml:space="preserve">Sister Islands </t>
  </si>
  <si>
    <t>HH Count</t>
  </si>
  <si>
    <t>STATISTICAL COMPENDIUM 2012</t>
  </si>
  <si>
    <t xml:space="preserve"> 1  -  4</t>
  </si>
  <si>
    <t>'89 - '99</t>
  </si>
  <si>
    <t>'99 - '10</t>
  </si>
  <si>
    <t xml:space="preserve">by the number of persons in the age group 15-64 years, in percent. 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</si>
  <si>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 xml:space="preserve"> Economics and Statistics Office</t>
    </r>
  </si>
  <si>
    <t>in population level is related to the temporary relocation of residents abroad in the aftermath of Hurricane Ivan.</t>
  </si>
  <si>
    <t>Figure 1.02</t>
  </si>
  <si>
    <t>Figure 1.01</t>
  </si>
  <si>
    <t>During 2002 to 2004 a large number of persons was granted Caymanian Status.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</si>
  <si>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Economics and Statistics Office</t>
    </r>
  </si>
  <si>
    <t>Average HH Size</t>
  </si>
  <si>
    <r>
      <t xml:space="preserve">Note: </t>
    </r>
    <r>
      <rPr>
        <sz val="10"/>
        <rFont val="Arial"/>
        <family val="2"/>
      </rPr>
      <t>Households (HH)</t>
    </r>
  </si>
  <si>
    <t>End of Year Population Estimates by District and Age Group, 2013 cont'd</t>
  </si>
  <si>
    <t>x</t>
  </si>
  <si>
    <t>DK/NS</t>
  </si>
  <si>
    <t>Dependency Ratio</t>
  </si>
  <si>
    <t>..</t>
  </si>
  <si>
    <t>0 - 9</t>
  </si>
  <si>
    <t>10 - 19</t>
  </si>
  <si>
    <t>20 - 29</t>
  </si>
  <si>
    <t>30 - 39</t>
  </si>
  <si>
    <t>40 - 49</t>
  </si>
  <si>
    <t>50 - 59</t>
  </si>
  <si>
    <t>60+</t>
  </si>
  <si>
    <t>2021            Cayman Islands</t>
  </si>
  <si>
    <t>Population by Age Group, Census Years 1970 -  2021</t>
  </si>
  <si>
    <t>10 - '21</t>
  </si>
  <si>
    <t>Population Growth Rate by District, Census Years 1989 -  2021</t>
  </si>
  <si>
    <t>Population in Census Years, 1802 -  2021</t>
  </si>
  <si>
    <t>Population Growth in Census Years, 1802 -  2021</t>
  </si>
  <si>
    <t>+</t>
  </si>
  <si>
    <t>+1999</t>
  </si>
  <si>
    <t>+2010</t>
  </si>
  <si>
    <t>+2021</t>
  </si>
  <si>
    <t>Census - actual population count</t>
  </si>
  <si>
    <t>Bahamas</t>
  </si>
  <si>
    <t>Dominica</t>
  </si>
  <si>
    <t>Grenada</t>
  </si>
  <si>
    <t>Monsterrat</t>
  </si>
  <si>
    <t>St Kitts and Nevis</t>
  </si>
  <si>
    <t>St Vincent</t>
  </si>
  <si>
    <t>Trinidad and Tobago</t>
  </si>
  <si>
    <t>Anguilla</t>
  </si>
  <si>
    <t>BVI</t>
  </si>
  <si>
    <t>Turks and Caicos Islands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</si>
  <si>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National Statistical Offices websites (latest data available)</t>
    </r>
  </si>
  <si>
    <t>Age 0</t>
  </si>
  <si>
    <t>Ages 1-4</t>
  </si>
  <si>
    <t>Age</t>
  </si>
  <si>
    <t>Deaths</t>
  </si>
  <si>
    <t>Age,</t>
  </si>
  <si>
    <t>Width,</t>
  </si>
  <si>
    <t>n</t>
  </si>
  <si>
    <t>nMx</t>
  </si>
  <si>
    <t xml:space="preserve">    nax</t>
  </si>
  <si>
    <t>nqx</t>
  </si>
  <si>
    <t xml:space="preserve"> lx</t>
  </si>
  <si>
    <t>ndx</t>
  </si>
  <si>
    <t>nLx</t>
  </si>
  <si>
    <t>5Px</t>
  </si>
  <si>
    <t xml:space="preserve"> Tx</t>
  </si>
  <si>
    <t xml:space="preserve"> ex</t>
  </si>
  <si>
    <t>nMx = Age-specific central death rate.</t>
  </si>
  <si>
    <t>nax = Average person-years lived by those who die between ages x</t>
  </si>
  <si>
    <t xml:space="preserve">      and x+n.</t>
  </si>
  <si>
    <t>nqx = Probability of dying between exact ages x and x+n</t>
  </si>
  <si>
    <t xml:space="preserve">      (age-specific mortality rate).</t>
  </si>
  <si>
    <t xml:space="preserve"> lx = Number of survivors at age x.</t>
  </si>
  <si>
    <t>ndx = Number of deaths occurring between ages x and x+n.</t>
  </si>
  <si>
    <t>nLx = Number of person-years lived between ages x and x+n.</t>
  </si>
  <si>
    <t>5Px = Survival ratio for persons aged x to x+5 surviving 5 years to</t>
  </si>
  <si>
    <t xml:space="preserve">      ages x+5 to x+10 = 5Lx+5/5Lx (first 5Px = 5L0/5l0, </t>
  </si>
  <si>
    <t xml:space="preserve">      second 5Px= 5L5/5L0, last 5Px = Tx+5/Tx).</t>
  </si>
  <si>
    <t xml:space="preserve"> Tx = Number of person-years lived after age x.</t>
  </si>
  <si>
    <t xml:space="preserve"> ex = Life expectancy at age x.</t>
  </si>
  <si>
    <t>Separation factors:</t>
  </si>
  <si>
    <t>D.  Smoothed Abridged Life Table Based on Deaths and Population:</t>
  </si>
  <si>
    <t>ndx = Number of deaths occurring between ages x and x=n.</t>
  </si>
  <si>
    <t>nMx values were smoothed for ages 15+ based on a moving average of the</t>
  </si>
  <si>
    <t xml:space="preserve">      logs:  smoothed 5Mx = 1/3 [5Mx-5+5Mx+5Mx+5]</t>
  </si>
  <si>
    <t>PRESS PgDn FOR FURTHER INSTRUCTIONS</t>
  </si>
  <si>
    <t>**** I N P U T ****</t>
  </si>
  <si>
    <t>CELL</t>
  </si>
  <si>
    <t>ITEM</t>
  </si>
  <si>
    <t>---------</t>
  </si>
  <si>
    <t>A1</t>
  </si>
  <si>
    <t>Table number.  Type both "Table" and the number.</t>
  </si>
  <si>
    <t>A2</t>
  </si>
  <si>
    <t xml:space="preserve">Country name and year (e.g. Burundi:  1975).  </t>
  </si>
  <si>
    <t xml:space="preserve"> Type over "COUNTRY:  YEAR".</t>
  </si>
  <si>
    <t>D7</t>
  </si>
  <si>
    <t>Sex code: Male=1, Female=2, Both sexes=3.</t>
  </si>
  <si>
    <t>D8</t>
  </si>
  <si>
    <t xml:space="preserve">Infant mortality rate (infant deaths per birth). </t>
  </si>
  <si>
    <t xml:space="preserve"> Enter an adjusted estimate of the infant mortality</t>
  </si>
  <si>
    <t xml:space="preserve"> rate, if it is available, based on births and infant</t>
  </si>
  <si>
    <t xml:space="preserve"> deaths or indirect estimates.  Enter 0 if no</t>
  </si>
  <si>
    <t xml:space="preserve"> estimate of the infant mortality rate is available.</t>
  </si>
  <si>
    <t>D12</t>
  </si>
  <si>
    <t>Code for separation factors: West=1, North=2, East=3,</t>
  </si>
  <si>
    <t xml:space="preserve"> South=4, Empirical=5.</t>
  </si>
  <si>
    <t>D13</t>
  </si>
  <si>
    <t xml:space="preserve">Separation factor for age 0.  Enter only if code=5 for </t>
  </si>
  <si>
    <t xml:space="preserve"> cell D12.</t>
  </si>
  <si>
    <t>**** I N P U T (continued) ****</t>
  </si>
  <si>
    <t>D14</t>
  </si>
  <si>
    <t>Separation factor for ages 1 to 4 years.  Enter only if</t>
  </si>
  <si>
    <t xml:space="preserve"> code=5 for cell D12.</t>
  </si>
  <si>
    <t>D16</t>
  </si>
  <si>
    <t xml:space="preserve">Sex ratio at birth (males per female).  Enter only for </t>
  </si>
  <si>
    <t xml:space="preserve"> both sexes (sex code=3 in cell D7).</t>
  </si>
  <si>
    <t>C26-C47</t>
  </si>
  <si>
    <t xml:space="preserve">* Deaths by age including the open-ended age group. </t>
  </si>
  <si>
    <t>D26-D47</t>
  </si>
  <si>
    <t xml:space="preserve">* Population by age including the open-ended age group. </t>
  </si>
  <si>
    <t xml:space="preserve">       *</t>
  </si>
  <si>
    <t>For both deaths and population, enter the data up</t>
  </si>
  <si>
    <t>to and including the open-ended age group.  The</t>
  </si>
  <si>
    <t>open-ended age group must be the same for both</t>
  </si>
  <si>
    <t>deaths and population and must be in the range 65+ to</t>
  </si>
  <si>
    <t>100+.  Enter 0 for the age groups after the open-ended</t>
  </si>
  <si>
    <t>age group.  Labels will change automatically after</t>
  </si>
  <si>
    <t>calculation.</t>
  </si>
  <si>
    <t>A50-G52</t>
  </si>
  <si>
    <t>Sources of the input data.</t>
  </si>
  <si>
    <t>A53</t>
  </si>
  <si>
    <t xml:space="preserve">Filename, disk name, date, and initials.  Type all of these </t>
  </si>
  <si>
    <t xml:space="preserve"> into the same cell.</t>
  </si>
  <si>
    <t>**** R E S U L T S ****</t>
  </si>
  <si>
    <t>A55-K98</t>
  </si>
  <si>
    <t>Abridged life table based on deaths and population.</t>
  </si>
  <si>
    <t>A99-K144</t>
  </si>
  <si>
    <t xml:space="preserve">Smoothed abridged life table based on deaths and population. </t>
  </si>
  <si>
    <t>**** G R A P H S ****</t>
  </si>
  <si>
    <t>NAME</t>
  </si>
  <si>
    <t>----------</t>
  </si>
  <si>
    <t>GRAPH1</t>
  </si>
  <si>
    <t>Age-specific central death rates (nmx).</t>
  </si>
  <si>
    <t>GRAPH2</t>
  </si>
  <si>
    <t>Probability of dying (nqx).</t>
  </si>
  <si>
    <t>PRESS PgDn FOR HELP SCREEN</t>
  </si>
  <si>
    <t>INTERMEDIATE CALCULATIONS</t>
  </si>
  <si>
    <t>Flags for Determining Open-Ended Age Group</t>
  </si>
  <si>
    <t xml:space="preserve">Age </t>
  </si>
  <si>
    <t>flag</t>
  </si>
  <si>
    <t>Sex ratio at birth plus 1</t>
  </si>
  <si>
    <t>Tables for Computing Separation Factors for Ages 0 and 1-4</t>
  </si>
  <si>
    <t>Separation factors for age 0</t>
  </si>
  <si>
    <t>Separation factors for ages 1-4</t>
  </si>
  <si>
    <t>Estimate and</t>
  </si>
  <si>
    <t>----------Sex code------------</t>
  </si>
  <si>
    <t>region</t>
  </si>
  <si>
    <t>IMR &gt; 0.100</t>
  </si>
  <si>
    <t>Separation factor</t>
  </si>
  <si>
    <t xml:space="preserve">  West</t>
  </si>
  <si>
    <t xml:space="preserve">  North</t>
  </si>
  <si>
    <t xml:space="preserve">  East</t>
  </si>
  <si>
    <t xml:space="preserve">  South</t>
  </si>
  <si>
    <t>IMR &lt; 0.100</t>
  </si>
  <si>
    <t>Intercept (alpha)</t>
  </si>
  <si>
    <t>Slope (beta)</t>
  </si>
  <si>
    <t>Infant death rate (m0)</t>
  </si>
  <si>
    <t>Estimates of Separation Factors</t>
  </si>
  <si>
    <t xml:space="preserve"> Sepation factor</t>
  </si>
  <si>
    <t xml:space="preserve"> IMR</t>
  </si>
  <si>
    <t xml:space="preserve"> Factors</t>
  </si>
  <si>
    <t xml:space="preserve">  Alpha</t>
  </si>
  <si>
    <t xml:space="preserve">  Beta</t>
  </si>
  <si>
    <t xml:space="preserve">  a</t>
  </si>
  <si>
    <t xml:space="preserve">  b</t>
  </si>
  <si>
    <t xml:space="preserve"> Estimates</t>
  </si>
  <si>
    <t xml:space="preserve">  IMR</t>
  </si>
  <si>
    <t xml:space="preserve">  Separtion factor</t>
  </si>
  <si>
    <t>Data for Graphs</t>
  </si>
  <si>
    <t>Smoothed</t>
  </si>
  <si>
    <t>min</t>
  </si>
  <si>
    <t>(midpoint)</t>
  </si>
  <si>
    <t>min for graphs</t>
  </si>
  <si>
    <t>Calculations to Smooth the Mx Values</t>
  </si>
  <si>
    <t xml:space="preserve">Smoothed </t>
  </si>
  <si>
    <t>adjusted</t>
  </si>
  <si>
    <t>nMx's</t>
  </si>
  <si>
    <t>deaths</t>
  </si>
  <si>
    <t>to total</t>
  </si>
  <si>
    <t/>
  </si>
  <si>
    <t>All ages</t>
  </si>
  <si>
    <t>15-</t>
  </si>
  <si>
    <t>CRITERIA FOR SUM OF DEATHS</t>
  </si>
  <si>
    <t xml:space="preserve">   +</t>
  </si>
  <si>
    <t>Compendium of Statistics 2022</t>
  </si>
  <si>
    <t>Population by Islands, Age Group and Sex, Census Years 1989 - 2021</t>
  </si>
  <si>
    <t>Population Density, Census Years 1989 -  2021</t>
  </si>
  <si>
    <t>Total Dependency Ratio, Census Years 1970 - 2021</t>
  </si>
  <si>
    <t>1.02a</t>
  </si>
  <si>
    <t>Population Pyramids for the Total, Caymanian and Non-Caymanian Population 2021</t>
  </si>
  <si>
    <t>Population in Selected Countries, 2010-2021 Census Round</t>
  </si>
  <si>
    <t>Status related to work - original</t>
  </si>
  <si>
    <t>Count</t>
  </si>
  <si>
    <t>Selected Indicators from the Life Table for the Cayman Islands,  2023</t>
  </si>
  <si>
    <t>End of Year Population Estimates by Status, 1990 -  2024</t>
  </si>
  <si>
    <t>End of Year Population Estimates by District and Sex, 2024</t>
  </si>
  <si>
    <t>End of Year Population Estimates by District and Status, 2024</t>
  </si>
  <si>
    <t>End of Year Population Estimates by Age Group and Status, 2024</t>
  </si>
  <si>
    <t>End of Year Population Estimates by Age Group and Sex, 2024</t>
  </si>
  <si>
    <t>End of Year Population Estimates by Sex, 2005 -  2024</t>
  </si>
  <si>
    <t>Population by Age, Sex and Status, 2024</t>
  </si>
  <si>
    <t>Compendium of Statistics 2024</t>
  </si>
  <si>
    <t>Total Households by District 2019 - 2024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</si>
</sst>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,###.0"/>
    <numFmt numFmtId="168" formatCode="#,##0.0"/>
    <numFmt numFmtId="169" formatCode="#,##0.0_);\(#,##0.0\)"/>
    <numFmt numFmtId="170" formatCode="0."/>
    <numFmt numFmtId="171" formatCode="\-\ #\ \-"/>
    <numFmt numFmtId="174" formatCode="0.00000_)"/>
    <numFmt numFmtId="175" formatCode="0.000_)"/>
    <numFmt numFmtId="176" formatCode="0.0_)"/>
    <numFmt numFmtId="177" formatCode="0.00_)"/>
    <numFmt numFmtId="178" formatCode="0.0000_)"/>
    <numFmt numFmtId="179" formatCode="General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name val="Book Antiqua"/>
      <family val="1"/>
    </font>
    <font>
      <u/>
      <sz val="10"/>
      <name val="Arial"/>
      <family val="2"/>
    </font>
    <font>
      <sz val="11"/>
      <name val="Book Antiqua"/>
      <family val="1"/>
    </font>
    <font>
      <b/>
      <sz val="14"/>
      <name val="Book Antiqua"/>
      <family val="1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3" fillId="0" borderId="0"/>
  </cellStyleXfs>
  <cellXfs count="417">
    <xf numFmtId="0" fontId="0" fillId="0" borderId="0" xfId="0"/>
    <xf numFmtId="0" fontId="3" fillId="2" borderId="0" xfId="0" applyFont="1" applyFill="1"/>
    <xf numFmtId="0" fontId="2" fillId="2" borderId="0" xfId="0" applyFont="1" applyFill="1" applyBorder="1"/>
    <xf numFmtId="164" fontId="2" fillId="2" borderId="0" xfId="1" applyNumberFormat="1" applyFont="1" applyFill="1" applyBorder="1"/>
    <xf numFmtId="165" fontId="2" fillId="2" borderId="0" xfId="0" applyNumberFormat="1" applyFont="1" applyFill="1" applyBorder="1"/>
    <xf numFmtId="0" fontId="3" fillId="2" borderId="0" xfId="0" applyFont="1" applyFill="1" applyBorder="1"/>
    <xf numFmtId="164" fontId="3" fillId="2" borderId="0" xfId="1" applyNumberFormat="1" applyFont="1" applyFill="1" applyBorder="1"/>
    <xf numFmtId="165" fontId="3" fillId="2" borderId="0" xfId="0" applyNumberFormat="1" applyFont="1" applyFill="1" applyBorder="1"/>
    <xf numFmtId="165" fontId="3" fillId="2" borderId="0" xfId="1" applyNumberFormat="1" applyFont="1" applyFill="1" applyBorder="1"/>
    <xf numFmtId="0" fontId="5" fillId="0" borderId="0" xfId="0" applyFont="1"/>
    <xf numFmtId="164" fontId="5" fillId="2" borderId="0" xfId="1" applyNumberFormat="1" applyFont="1" applyFill="1" applyBorder="1"/>
    <xf numFmtId="166" fontId="5" fillId="2" borderId="0" xfId="0" applyNumberFormat="1" applyFont="1" applyFill="1" applyBorder="1"/>
    <xf numFmtId="0" fontId="0" fillId="3" borderId="0" xfId="0" applyFill="1"/>
    <xf numFmtId="0" fontId="0" fillId="2" borderId="0" xfId="0" applyFill="1"/>
    <xf numFmtId="0" fontId="8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 applyAlignment="1">
      <alignment horizontal="centerContinuous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/>
    <xf numFmtId="167" fontId="5" fillId="2" borderId="0" xfId="0" applyNumberFormat="1" applyFont="1" applyFill="1"/>
    <xf numFmtId="0" fontId="5" fillId="2" borderId="3" xfId="0" applyFont="1" applyFill="1" applyBorder="1"/>
    <xf numFmtId="3" fontId="5" fillId="2" borderId="3" xfId="0" applyNumberFormat="1" applyFont="1" applyFill="1" applyBorder="1"/>
    <xf numFmtId="167" fontId="5" fillId="2" borderId="3" xfId="0" applyNumberFormat="1" applyFont="1" applyFill="1" applyBorder="1"/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/>
    <xf numFmtId="3" fontId="5" fillId="2" borderId="0" xfId="0" applyNumberFormat="1" applyFont="1" applyFill="1" applyBorder="1"/>
    <xf numFmtId="167" fontId="5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Border="1" applyAlignment="1"/>
    <xf numFmtId="0" fontId="3" fillId="2" borderId="0" xfId="2" applyFill="1" applyBorder="1"/>
    <xf numFmtId="0" fontId="3" fillId="0" borderId="0" xfId="2"/>
    <xf numFmtId="0" fontId="10" fillId="2" borderId="0" xfId="2" applyFont="1" applyFill="1" applyBorder="1"/>
    <xf numFmtId="0" fontId="3" fillId="0" borderId="0" xfId="2" applyFill="1"/>
    <xf numFmtId="0" fontId="11" fillId="2" borderId="0" xfId="2" applyFont="1" applyFill="1" applyBorder="1" applyAlignment="1">
      <alignment horizontal="right"/>
    </xf>
    <xf numFmtId="170" fontId="12" fillId="2" borderId="0" xfId="2" applyNumberFormat="1" applyFont="1" applyFill="1" applyBorder="1"/>
    <xf numFmtId="0" fontId="12" fillId="2" borderId="0" xfId="2" applyFont="1" applyFill="1" applyBorder="1" applyAlignment="1"/>
    <xf numFmtId="0" fontId="3" fillId="0" borderId="0" xfId="2" applyBorder="1"/>
    <xf numFmtId="0" fontId="6" fillId="2" borderId="0" xfId="0" applyFont="1" applyFill="1"/>
    <xf numFmtId="0" fontId="5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wrapText="1"/>
    </xf>
    <xf numFmtId="0" fontId="0" fillId="0" borderId="0" xfId="0" applyFill="1"/>
    <xf numFmtId="0" fontId="13" fillId="0" borderId="0" xfId="0" applyFont="1" applyFill="1"/>
    <xf numFmtId="0" fontId="3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Alignment="1"/>
    <xf numFmtId="0" fontId="2" fillId="0" borderId="3" xfId="0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164" fontId="5" fillId="0" borderId="0" xfId="1" applyNumberFormat="1" applyFont="1" applyFill="1" applyBorder="1"/>
    <xf numFmtId="0" fontId="5" fillId="0" borderId="1" xfId="0" applyFont="1" applyFill="1" applyBorder="1"/>
    <xf numFmtId="0" fontId="3" fillId="0" borderId="0" xfId="0" applyFont="1" applyFill="1" applyAlignment="1"/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164" fontId="3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5" fontId="5" fillId="0" borderId="0" xfId="0" applyNumberFormat="1" applyFont="1" applyFill="1" applyBorder="1"/>
    <xf numFmtId="168" fontId="5" fillId="0" borderId="0" xfId="0" applyNumberFormat="1" applyFont="1" applyFill="1" applyBorder="1"/>
    <xf numFmtId="164" fontId="5" fillId="0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 applyAlignment="1"/>
    <xf numFmtId="0" fontId="5" fillId="0" borderId="3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Continuous"/>
    </xf>
    <xf numFmtId="0" fontId="5" fillId="0" borderId="3" xfId="0" applyFont="1" applyFill="1" applyBorder="1" applyAlignment="1"/>
    <xf numFmtId="164" fontId="5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Continuous"/>
    </xf>
    <xf numFmtId="2" fontId="2" fillId="0" borderId="0" xfId="0" quotePrefix="1" applyNumberFormat="1" applyFont="1" applyFill="1" applyAlignment="1">
      <alignment horizontal="left"/>
    </xf>
    <xf numFmtId="164" fontId="3" fillId="0" borderId="0" xfId="1" applyNumberFormat="1" applyFont="1" applyFill="1"/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2" fillId="0" borderId="0" xfId="0" applyNumberFormat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165" fontId="3" fillId="0" borderId="0" xfId="1" applyNumberFormat="1" applyFont="1" applyFill="1"/>
    <xf numFmtId="0" fontId="9" fillId="0" borderId="0" xfId="0" applyFont="1" applyFill="1"/>
    <xf numFmtId="0" fontId="14" fillId="0" borderId="0" xfId="0" applyFont="1" applyFill="1"/>
    <xf numFmtId="0" fontId="9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18" fillId="0" borderId="0" xfId="0" applyFont="1" applyFill="1" applyBorder="1"/>
    <xf numFmtId="0" fontId="19" fillId="0" borderId="0" xfId="0" applyFont="1" applyFill="1" applyBorder="1"/>
    <xf numFmtId="37" fontId="19" fillId="0" borderId="0" xfId="3" applyNumberFormat="1" applyFont="1" applyFill="1" applyBorder="1" applyAlignment="1">
      <alignment horizontal="right"/>
    </xf>
    <xf numFmtId="164" fontId="19" fillId="0" borderId="0" xfId="0" applyNumberFormat="1" applyFont="1" applyFill="1" applyBorder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3" fillId="0" borderId="0" xfId="0" applyFont="1" applyFill="1" applyAlignment="1">
      <alignment horizontal="centerContinuous"/>
    </xf>
    <xf numFmtId="0" fontId="21" fillId="0" borderId="0" xfId="0" applyFont="1" applyFill="1"/>
    <xf numFmtId="0" fontId="21" fillId="0" borderId="0" xfId="0" applyFont="1" applyFill="1" applyBorder="1"/>
    <xf numFmtId="0" fontId="22" fillId="0" borderId="0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Border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3" fontId="5" fillId="0" borderId="0" xfId="0" applyNumberFormat="1" applyFont="1" applyFill="1" applyBorder="1"/>
    <xf numFmtId="164" fontId="3" fillId="0" borderId="0" xfId="1" quotePrefix="1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165" fontId="5" fillId="0" borderId="0" xfId="1" applyNumberFormat="1" applyFont="1" applyFill="1" applyBorder="1"/>
    <xf numFmtId="164" fontId="3" fillId="0" borderId="3" xfId="1" applyNumberFormat="1" applyFont="1" applyFill="1" applyBorder="1"/>
    <xf numFmtId="164" fontId="5" fillId="0" borderId="3" xfId="1" applyNumberFormat="1" applyFont="1" applyFill="1" applyBorder="1"/>
    <xf numFmtId="165" fontId="5" fillId="0" borderId="3" xfId="1" applyNumberFormat="1" applyFont="1" applyFill="1" applyBorder="1"/>
    <xf numFmtId="0" fontId="2" fillId="0" borderId="2" xfId="0" applyFont="1" applyFill="1" applyBorder="1" applyAlignment="1">
      <alignment horizontal="right"/>
    </xf>
    <xf numFmtId="165" fontId="3" fillId="0" borderId="0" xfId="0" applyNumberFormat="1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/>
    </xf>
    <xf numFmtId="164" fontId="19" fillId="0" borderId="0" xfId="1" applyNumberFormat="1" applyFont="1" applyFill="1" applyBorder="1"/>
    <xf numFmtId="165" fontId="19" fillId="0" borderId="0" xfId="1" applyNumberFormat="1" applyFont="1" applyFill="1" applyBorder="1"/>
    <xf numFmtId="165" fontId="19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19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69" fontId="5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" fillId="0" borderId="3" xfId="0" quotePrefix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7" fillId="0" borderId="0" xfId="0" quotePrefix="1" applyFont="1" applyFill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right"/>
    </xf>
    <xf numFmtId="0" fontId="15" fillId="0" borderId="0" xfId="0" applyFont="1" applyFill="1" applyBorder="1"/>
    <xf numFmtId="0" fontId="6" fillId="0" borderId="3" xfId="0" applyFont="1" applyFill="1" applyBorder="1" applyAlignment="1">
      <alignment horizontal="right"/>
    </xf>
    <xf numFmtId="3" fontId="5" fillId="0" borderId="3" xfId="0" applyNumberFormat="1" applyFont="1" applyFill="1" applyBorder="1"/>
    <xf numFmtId="169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8" fontId="5" fillId="0" borderId="3" xfId="0" applyNumberFormat="1" applyFont="1" applyFill="1" applyBorder="1"/>
    <xf numFmtId="168" fontId="5" fillId="0" borderId="3" xfId="0" applyNumberFormat="1" applyFont="1" applyFill="1" applyBorder="1" applyAlignment="1">
      <alignment horizontal="right"/>
    </xf>
    <xf numFmtId="0" fontId="23" fillId="0" borderId="0" xfId="12" applyFill="1"/>
    <xf numFmtId="0" fontId="23" fillId="0" borderId="0" xfId="12" applyFill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164" fontId="5" fillId="0" borderId="4" xfId="1" applyNumberFormat="1" applyFont="1" applyFill="1" applyBorder="1"/>
    <xf numFmtId="0" fontId="5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164" fontId="5" fillId="0" borderId="0" xfId="3" applyNumberFormat="1" applyFont="1" applyFill="1" applyBorder="1"/>
    <xf numFmtId="165" fontId="5" fillId="0" borderId="0" xfId="3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164" fontId="5" fillId="0" borderId="0" xfId="3" applyNumberFormat="1" applyFont="1" applyFill="1" applyBorder="1" applyProtection="1">
      <protection locked="0"/>
    </xf>
    <xf numFmtId="164" fontId="3" fillId="0" borderId="0" xfId="3" applyNumberFormat="1" applyFont="1" applyFill="1" applyBorder="1"/>
    <xf numFmtId="165" fontId="3" fillId="0" borderId="0" xfId="3" applyNumberFormat="1" applyFont="1" applyFill="1" applyBorder="1"/>
    <xf numFmtId="164" fontId="3" fillId="0" borderId="3" xfId="3" applyNumberFormat="1" applyFont="1" applyFill="1" applyBorder="1"/>
    <xf numFmtId="166" fontId="5" fillId="0" borderId="3" xfId="0" applyNumberFormat="1" applyFont="1" applyFill="1" applyBorder="1"/>
    <xf numFmtId="165" fontId="3" fillId="0" borderId="3" xfId="3" applyNumberFormat="1" applyFont="1" applyFill="1" applyBorder="1"/>
    <xf numFmtId="166" fontId="5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/>
    <xf numFmtId="0" fontId="5" fillId="0" borderId="3" xfId="0" applyFont="1" applyFill="1" applyBorder="1" applyAlignment="1">
      <alignment wrapText="1"/>
    </xf>
    <xf numFmtId="164" fontId="5" fillId="0" borderId="3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/>
    </xf>
    <xf numFmtId="0" fontId="2" fillId="0" borderId="13" xfId="1" applyNumberFormat="1" applyFont="1" applyFill="1" applyBorder="1" applyAlignment="1">
      <alignment horizontal="right"/>
    </xf>
    <xf numFmtId="0" fontId="2" fillId="0" borderId="14" xfId="1" applyNumberFormat="1" applyFont="1" applyFill="1" applyBorder="1" applyAlignment="1">
      <alignment horizontal="right"/>
    </xf>
    <xf numFmtId="0" fontId="2" fillId="0" borderId="3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right"/>
    </xf>
    <xf numFmtId="0" fontId="2" fillId="0" borderId="11" xfId="1" applyNumberFormat="1" applyFont="1" applyFill="1" applyBorder="1" applyAlignment="1">
      <alignment horizontal="right"/>
    </xf>
    <xf numFmtId="0" fontId="2" fillId="0" borderId="4" xfId="1" applyNumberFormat="1" applyFont="1" applyFill="1" applyBorder="1" applyAlignment="1">
      <alignment horizontal="right"/>
    </xf>
    <xf numFmtId="0" fontId="5" fillId="0" borderId="4" xfId="0" applyFont="1" applyFill="1" applyBorder="1"/>
    <xf numFmtId="0" fontId="5" fillId="0" borderId="11" xfId="0" applyFont="1" applyFill="1" applyBorder="1"/>
    <xf numFmtId="164" fontId="2" fillId="0" borderId="0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left"/>
    </xf>
    <xf numFmtId="164" fontId="5" fillId="0" borderId="4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3" fontId="5" fillId="0" borderId="3" xfId="1" applyFont="1" applyFill="1" applyBorder="1" applyAlignment="1">
      <alignment horizontal="right"/>
    </xf>
    <xf numFmtId="165" fontId="3" fillId="0" borderId="10" xfId="0" applyNumberFormat="1" applyFont="1" applyFill="1" applyBorder="1" applyAlignment="1">
      <alignment horizontal="right"/>
    </xf>
    <xf numFmtId="43" fontId="5" fillId="0" borderId="5" xfId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2" fillId="0" borderId="0" xfId="1" applyNumberFormat="1" applyFont="1" applyFill="1"/>
    <xf numFmtId="43" fontId="2" fillId="0" borderId="9" xfId="1" quotePrefix="1" applyFont="1" applyFill="1" applyBorder="1" applyAlignment="1">
      <alignment horizontal="center" vertical="center" wrapText="1"/>
    </xf>
    <xf numFmtId="43" fontId="2" fillId="0" borderId="3" xfId="1" quotePrefix="1" applyFont="1" applyFill="1" applyBorder="1" applyAlignment="1">
      <alignment horizontal="center" vertical="center" wrapText="1"/>
    </xf>
    <xf numFmtId="43" fontId="2" fillId="0" borderId="15" xfId="1" quotePrefix="1" applyFont="1" applyFill="1" applyBorder="1" applyAlignment="1">
      <alignment horizontal="center" vertical="center" wrapText="1"/>
    </xf>
    <xf numFmtId="43" fontId="2" fillId="0" borderId="5" xfId="1" quotePrefix="1" applyFont="1" applyFill="1" applyBorder="1" applyAlignment="1">
      <alignment horizontal="center" vertical="center" wrapText="1"/>
    </xf>
    <xf numFmtId="0" fontId="5" fillId="0" borderId="7" xfId="0" applyFont="1" applyFill="1" applyBorder="1"/>
    <xf numFmtId="165" fontId="5" fillId="0" borderId="7" xfId="1" applyNumberFormat="1" applyFont="1" applyFill="1" applyBorder="1"/>
    <xf numFmtId="165" fontId="5" fillId="0" borderId="4" xfId="1" applyNumberFormat="1" applyFont="1" applyFill="1" applyBorder="1"/>
    <xf numFmtId="0" fontId="5" fillId="0" borderId="9" xfId="0" applyFont="1" applyFill="1" applyBorder="1"/>
    <xf numFmtId="0" fontId="5" fillId="0" borderId="5" xfId="0" applyFont="1" applyFill="1" applyBorder="1"/>
    <xf numFmtId="0" fontId="2" fillId="0" borderId="1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Continuous"/>
    </xf>
    <xf numFmtId="0" fontId="2" fillId="0" borderId="8" xfId="0" applyFont="1" applyFill="1" applyBorder="1" applyAlignment="1">
      <alignment horizontal="centerContinuous"/>
    </xf>
    <xf numFmtId="0" fontId="2" fillId="0" borderId="9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7" xfId="1" applyNumberFormat="1" applyFont="1" applyFill="1" applyBorder="1"/>
    <xf numFmtId="164" fontId="3" fillId="0" borderId="4" xfId="1" applyNumberFormat="1" applyFont="1" applyFill="1" applyBorder="1"/>
    <xf numFmtId="164" fontId="3" fillId="0" borderId="11" xfId="1" applyNumberFormat="1" applyFont="1" applyFill="1" applyBorder="1"/>
    <xf numFmtId="164" fontId="5" fillId="0" borderId="7" xfId="1" applyNumberFormat="1" applyFont="1" applyFill="1" applyBorder="1"/>
    <xf numFmtId="164" fontId="5" fillId="0" borderId="11" xfId="1" applyNumberFormat="1" applyFont="1" applyFill="1" applyBorder="1"/>
    <xf numFmtId="164" fontId="3" fillId="0" borderId="9" xfId="1" applyNumberFormat="1" applyFont="1" applyFill="1" applyBorder="1"/>
    <xf numFmtId="164" fontId="3" fillId="0" borderId="5" xfId="1" applyNumberFormat="1" applyFont="1" applyFill="1" applyBorder="1"/>
    <xf numFmtId="164" fontId="3" fillId="0" borderId="10" xfId="1" applyNumberFormat="1" applyFont="1" applyFill="1" applyBorder="1"/>
    <xf numFmtId="1" fontId="5" fillId="0" borderId="5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166" fontId="5" fillId="0" borderId="0" xfId="0" applyNumberFormat="1" applyFont="1" applyFill="1"/>
    <xf numFmtId="166" fontId="5" fillId="0" borderId="3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5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24" fillId="0" borderId="0" xfId="0" applyFont="1" applyFill="1" applyBorder="1"/>
    <xf numFmtId="3" fontId="3" fillId="0" borderId="0" xfId="0" applyNumberFormat="1" applyFont="1" applyFill="1" applyBorder="1" applyAlignment="1"/>
    <xf numFmtId="1" fontId="5" fillId="0" borderId="0" xfId="0" applyNumberFormat="1" applyFont="1" applyFill="1" applyBorder="1"/>
    <xf numFmtId="0" fontId="3" fillId="0" borderId="0" xfId="0" applyFont="1" applyFill="1" applyBorder="1" applyAlignment="1">
      <alignment horizontal="centerContinuous"/>
    </xf>
    <xf numFmtId="0" fontId="24" fillId="0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 applyAlignment="1"/>
    <xf numFmtId="164" fontId="19" fillId="0" borderId="0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3" xfId="0" applyFont="1" applyFill="1" applyBorder="1" applyAlignment="1">
      <alignment wrapText="1"/>
    </xf>
    <xf numFmtId="0" fontId="25" fillId="0" borderId="0" xfId="0" applyFont="1" applyFill="1"/>
    <xf numFmtId="0" fontId="3" fillId="0" borderId="3" xfId="0" applyFont="1" applyFill="1" applyBorder="1" applyAlignment="1" applyProtection="1">
      <alignment horizontal="fill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fill"/>
    </xf>
    <xf numFmtId="0" fontId="3" fillId="0" borderId="0" xfId="0" applyFont="1" applyFill="1" applyProtection="1"/>
    <xf numFmtId="174" fontId="3" fillId="0" borderId="0" xfId="0" applyNumberFormat="1" applyFont="1" applyFill="1" applyProtection="1"/>
    <xf numFmtId="175" fontId="3" fillId="0" borderId="0" xfId="0" applyNumberFormat="1" applyFont="1" applyFill="1" applyProtection="1"/>
    <xf numFmtId="37" fontId="3" fillId="0" borderId="0" xfId="0" applyNumberFormat="1" applyFont="1" applyFill="1" applyProtection="1"/>
    <xf numFmtId="176" fontId="3" fillId="0" borderId="0" xfId="0" applyNumberFormat="1" applyFont="1" applyFill="1" applyProtection="1"/>
    <xf numFmtId="176" fontId="3" fillId="0" borderId="0" xfId="1" applyNumberFormat="1" applyFont="1" applyFill="1" applyProtection="1"/>
    <xf numFmtId="0" fontId="3" fillId="0" borderId="3" xfId="0" applyFont="1" applyFill="1" applyBorder="1" applyProtection="1"/>
    <xf numFmtId="174" fontId="3" fillId="0" borderId="3" xfId="0" applyNumberFormat="1" applyFont="1" applyFill="1" applyBorder="1" applyProtection="1"/>
    <xf numFmtId="175" fontId="3" fillId="0" borderId="3" xfId="0" applyNumberFormat="1" applyFont="1" applyFill="1" applyBorder="1" applyProtection="1"/>
    <xf numFmtId="37" fontId="3" fillId="0" borderId="3" xfId="0" applyNumberFormat="1" applyFont="1" applyFill="1" applyBorder="1" applyProtection="1"/>
    <xf numFmtId="176" fontId="3" fillId="0" borderId="3" xfId="1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174" fontId="3" fillId="0" borderId="0" xfId="0" applyNumberFormat="1" applyFont="1" applyFill="1" applyBorder="1" applyProtection="1"/>
    <xf numFmtId="175" fontId="3" fillId="0" borderId="0" xfId="0" applyNumberFormat="1" applyFont="1" applyFill="1" applyBorder="1" applyProtection="1"/>
    <xf numFmtId="37" fontId="3" fillId="0" borderId="0" xfId="0" applyNumberFormat="1" applyFont="1" applyFill="1" applyBorder="1" applyProtection="1"/>
    <xf numFmtId="176" fontId="3" fillId="0" borderId="0" xfId="1" applyNumberFormat="1" applyFont="1" applyFill="1" applyBorder="1" applyProtection="1"/>
    <xf numFmtId="0" fontId="27" fillId="0" borderId="0" xfId="0" applyFont="1" applyFill="1"/>
    <xf numFmtId="177" fontId="3" fillId="0" borderId="0" xfId="0" applyNumberFormat="1" applyFont="1" applyFill="1" applyProtection="1"/>
    <xf numFmtId="0" fontId="25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177" fontId="25" fillId="0" borderId="0" xfId="0" applyNumberFormat="1" applyFont="1" applyFill="1" applyAlignment="1" applyProtection="1">
      <alignment horizontal="left"/>
    </xf>
    <xf numFmtId="37" fontId="25" fillId="0" borderId="0" xfId="0" applyNumberFormat="1" applyFont="1" applyFill="1" applyAlignment="1" applyProtection="1">
      <alignment horizontal="left"/>
    </xf>
    <xf numFmtId="0" fontId="26" fillId="0" borderId="0" xfId="0" applyFont="1" applyFill="1" applyProtection="1">
      <protection locked="0"/>
    </xf>
    <xf numFmtId="0" fontId="25" fillId="0" borderId="0" xfId="0" applyFont="1" applyFill="1" applyAlignment="1" applyProtection="1">
      <alignment horizontal="fill"/>
    </xf>
    <xf numFmtId="0" fontId="25" fillId="0" borderId="0" xfId="0" applyFont="1" applyFill="1" applyAlignment="1" applyProtection="1">
      <alignment horizontal="right"/>
    </xf>
    <xf numFmtId="177" fontId="25" fillId="0" borderId="0" xfId="0" applyNumberFormat="1" applyFont="1" applyFill="1" applyProtection="1"/>
    <xf numFmtId="178" fontId="25" fillId="0" borderId="0" xfId="0" applyNumberFormat="1" applyFont="1" applyFill="1" applyProtection="1"/>
    <xf numFmtId="175" fontId="25" fillId="0" borderId="0" xfId="0" applyNumberFormat="1" applyFont="1" applyFill="1" applyProtection="1"/>
    <xf numFmtId="174" fontId="25" fillId="0" borderId="0" xfId="0" applyNumberFormat="1" applyFont="1" applyFill="1" applyProtection="1"/>
    <xf numFmtId="37" fontId="25" fillId="0" borderId="0" xfId="0" applyNumberFormat="1" applyFont="1" applyFill="1" applyProtection="1"/>
    <xf numFmtId="174" fontId="25" fillId="0" borderId="0" xfId="0" applyNumberFormat="1" applyFont="1" applyFill="1" applyAlignment="1" applyProtection="1">
      <alignment horizontal="left"/>
    </xf>
    <xf numFmtId="179" fontId="25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left"/>
    </xf>
    <xf numFmtId="165" fontId="3" fillId="0" borderId="3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164" fontId="6" fillId="0" borderId="4" xfId="1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5" xfId="1" applyNumberFormat="1" applyFont="1" applyFill="1" applyBorder="1"/>
    <xf numFmtId="0" fontId="2" fillId="0" borderId="5" xfId="0" applyFont="1" applyFill="1" applyBorder="1"/>
    <xf numFmtId="0" fontId="2" fillId="0" borderId="1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37" fontId="6" fillId="0" borderId="4" xfId="3" applyNumberFormat="1" applyFont="1" applyFill="1" applyBorder="1" applyAlignment="1">
      <alignment horizontal="right"/>
    </xf>
    <xf numFmtId="37" fontId="6" fillId="0" borderId="0" xfId="3" applyNumberFormat="1" applyFont="1" applyFill="1" applyBorder="1" applyAlignment="1">
      <alignment horizontal="right"/>
    </xf>
    <xf numFmtId="169" fontId="6" fillId="0" borderId="11" xfId="3" applyNumberFormat="1" applyFont="1" applyFill="1" applyBorder="1" applyAlignment="1">
      <alignment horizontal="right"/>
    </xf>
    <xf numFmtId="37" fontId="6" fillId="0" borderId="0" xfId="3" applyNumberFormat="1" applyFont="1" applyFill="1" applyAlignment="1">
      <alignment horizontal="right"/>
    </xf>
    <xf numFmtId="169" fontId="6" fillId="0" borderId="0" xfId="3" applyNumberFormat="1" applyFont="1" applyFill="1" applyAlignment="1">
      <alignment horizontal="right"/>
    </xf>
    <xf numFmtId="169" fontId="6" fillId="0" borderId="0" xfId="3" applyNumberFormat="1" applyFont="1" applyFill="1" applyBorder="1" applyAlignment="1">
      <alignment horizontal="right"/>
    </xf>
    <xf numFmtId="164" fontId="2" fillId="0" borderId="0" xfId="1" applyNumberFormat="1" applyFont="1" applyFill="1" applyAlignment="1"/>
    <xf numFmtId="165" fontId="2" fillId="0" borderId="0" xfId="1" applyNumberFormat="1" applyFont="1" applyFill="1" applyAlignment="1"/>
    <xf numFmtId="37" fontId="3" fillId="0" borderId="4" xfId="3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169" fontId="3" fillId="0" borderId="11" xfId="3" applyNumberFormat="1" applyFont="1" applyFill="1" applyBorder="1" applyAlignment="1">
      <alignment horizontal="right"/>
    </xf>
    <xf numFmtId="37" fontId="3" fillId="0" borderId="0" xfId="3" applyNumberFormat="1" applyFont="1" applyFill="1" applyAlignment="1">
      <alignment horizontal="right"/>
    </xf>
    <xf numFmtId="0" fontId="3" fillId="0" borderId="0" xfId="1" applyNumberFormat="1" applyFont="1" applyFill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3" fillId="0" borderId="0" xfId="3" applyNumberFormat="1" applyFont="1" applyFill="1" applyBorder="1" applyAlignment="1">
      <alignment horizontal="right"/>
    </xf>
    <xf numFmtId="43" fontId="2" fillId="0" borderId="0" xfId="1" applyFont="1" applyFill="1"/>
    <xf numFmtId="164" fontId="3" fillId="0" borderId="4" xfId="3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9" fontId="5" fillId="0" borderId="11" xfId="3" applyNumberFormat="1" applyFont="1" applyFill="1" applyBorder="1" applyAlignment="1">
      <alignment horizontal="right"/>
    </xf>
    <xf numFmtId="164" fontId="3" fillId="0" borderId="0" xfId="3" applyNumberFormat="1" applyFont="1" applyFill="1" applyAlignment="1">
      <alignment horizontal="right"/>
    </xf>
    <xf numFmtId="169" fontId="5" fillId="0" borderId="0" xfId="3" applyNumberFormat="1" applyFont="1" applyFill="1" applyAlignment="1">
      <alignment horizontal="right"/>
    </xf>
    <xf numFmtId="169" fontId="5" fillId="0" borderId="0" xfId="3" applyNumberFormat="1" applyFont="1" applyFill="1" applyBorder="1" applyAlignment="1">
      <alignment horizontal="right"/>
    </xf>
    <xf numFmtId="165" fontId="3" fillId="0" borderId="0" xfId="1" applyNumberFormat="1" applyFont="1" applyFill="1" applyAlignment="1"/>
    <xf numFmtId="0" fontId="3" fillId="0" borderId="0" xfId="0" applyFont="1" applyFill="1" applyBorder="1" applyAlignment="1">
      <alignment horizontal="left"/>
    </xf>
    <xf numFmtId="37" fontId="3" fillId="0" borderId="0" xfId="3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37" fontId="6" fillId="0" borderId="5" xfId="3" applyNumberFormat="1" applyFont="1" applyFill="1" applyBorder="1" applyAlignment="1">
      <alignment horizontal="right"/>
    </xf>
    <xf numFmtId="37" fontId="6" fillId="0" borderId="3" xfId="3" applyNumberFormat="1" applyFont="1" applyFill="1" applyBorder="1" applyAlignment="1">
      <alignment horizontal="right"/>
    </xf>
    <xf numFmtId="169" fontId="6" fillId="0" borderId="10" xfId="3" applyNumberFormat="1" applyFont="1" applyFill="1" applyBorder="1" applyAlignment="1">
      <alignment horizontal="right"/>
    </xf>
    <xf numFmtId="169" fontId="6" fillId="0" borderId="3" xfId="3" applyNumberFormat="1" applyFont="1" applyFill="1" applyBorder="1" applyAlignment="1">
      <alignment horizontal="right"/>
    </xf>
    <xf numFmtId="164" fontId="2" fillId="0" borderId="3" xfId="1" applyNumberFormat="1" applyFont="1" applyFill="1" applyBorder="1"/>
    <xf numFmtId="165" fontId="2" fillId="0" borderId="3" xfId="1" applyNumberFormat="1" applyFont="1" applyFill="1" applyBorder="1" applyAlignment="1"/>
    <xf numFmtId="0" fontId="3" fillId="0" borderId="3" xfId="0" applyFont="1" applyFill="1" applyBorder="1" applyAlignment="1">
      <alignment horizontal="left"/>
    </xf>
    <xf numFmtId="164" fontId="3" fillId="0" borderId="3" xfId="1" applyNumberFormat="1" applyFont="1" applyFill="1" applyBorder="1" applyAlignment="1">
      <alignment horizontal="right"/>
    </xf>
    <xf numFmtId="169" fontId="5" fillId="0" borderId="3" xfId="3" applyNumberFormat="1" applyFont="1" applyFill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 wrapText="1"/>
    </xf>
    <xf numFmtId="171" fontId="3" fillId="2" borderId="0" xfId="2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1" applyNumberFormat="1" applyFont="1" applyFill="1" applyBorder="1" applyAlignment="1">
      <alignment horizontal="center"/>
    </xf>
    <xf numFmtId="0" fontId="2" fillId="0" borderId="14" xfId="1" applyNumberFormat="1" applyFont="1" applyFill="1" applyBorder="1" applyAlignment="1">
      <alignment horizontal="center"/>
    </xf>
    <xf numFmtId="0" fontId="2" fillId="0" borderId="13" xfId="1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13">
    <cellStyle name="Comma" xfId="1" builtinId="3"/>
    <cellStyle name="Comma 2" xfId="3" xr:uid="{00000000-0005-0000-0000-000001000000}"/>
    <cellStyle name="Comma 2 2" xfId="6" xr:uid="{00000000-0005-0000-0000-000002000000}"/>
    <cellStyle name="Comma 3" xfId="5" xr:uid="{00000000-0005-0000-0000-000003000000}"/>
    <cellStyle name="Comma 3 2" xfId="8" xr:uid="{00000000-0005-0000-0000-000004000000}"/>
    <cellStyle name="Normal" xfId="0" builtinId="0"/>
    <cellStyle name="Normal 2" xfId="2" xr:uid="{00000000-0005-0000-0000-000006000000}"/>
    <cellStyle name="Normal 2 2" xfId="7" xr:uid="{00000000-0005-0000-0000-000007000000}"/>
    <cellStyle name="Normal 3" xfId="4" xr:uid="{00000000-0005-0000-0000-000008000000}"/>
    <cellStyle name="Normal 3 2" xfId="9" xr:uid="{00000000-0005-0000-0000-000009000000}"/>
    <cellStyle name="Normal 4" xfId="10" xr:uid="{00000000-0005-0000-0000-00000A000000}"/>
    <cellStyle name="Normal 5" xfId="11" xr:uid="{00000000-0005-0000-0000-00000B000000}"/>
    <cellStyle name="Normal_.06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'.07'!$D$10</c:f>
              <c:strCache>
                <c:ptCount val="1"/>
                <c:pt idx="0">
                  <c:v>Resident 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'.07'!$C$12:$C$24</c:f>
              <c:numCache>
                <c:formatCode>General</c:formatCode>
                <c:ptCount val="13"/>
                <c:pt idx="0">
                  <c:v>1802</c:v>
                </c:pt>
                <c:pt idx="1">
                  <c:v>1891</c:v>
                </c:pt>
                <c:pt idx="2">
                  <c:v>1911</c:v>
                </c:pt>
                <c:pt idx="3">
                  <c:v>1921</c:v>
                </c:pt>
                <c:pt idx="4">
                  <c:v>1934</c:v>
                </c:pt>
                <c:pt idx="5">
                  <c:v>1943</c:v>
                </c:pt>
                <c:pt idx="6">
                  <c:v>1960</c:v>
                </c:pt>
                <c:pt idx="7">
                  <c:v>1970</c:v>
                </c:pt>
                <c:pt idx="8">
                  <c:v>1979</c:v>
                </c:pt>
                <c:pt idx="9">
                  <c:v>1989</c:v>
                </c:pt>
                <c:pt idx="10">
                  <c:v>1999</c:v>
                </c:pt>
                <c:pt idx="11">
                  <c:v>2010</c:v>
                </c:pt>
                <c:pt idx="12">
                  <c:v>2021</c:v>
                </c:pt>
              </c:numCache>
            </c:numRef>
          </c:cat>
          <c:val>
            <c:numRef>
              <c:f>'.07'!$D$11:$D$24</c:f>
              <c:numCache>
                <c:formatCode>_(* #,##0_);_(* \(#,##0\);_(* "-"??_);_(@_)</c:formatCode>
                <c:ptCount val="14"/>
                <c:pt idx="1">
                  <c:v>933</c:v>
                </c:pt>
                <c:pt idx="2">
                  <c:v>4322</c:v>
                </c:pt>
                <c:pt idx="3">
                  <c:v>5564</c:v>
                </c:pt>
                <c:pt idx="4">
                  <c:v>5270</c:v>
                </c:pt>
                <c:pt idx="5">
                  <c:v>5930</c:v>
                </c:pt>
                <c:pt idx="6">
                  <c:v>6690</c:v>
                </c:pt>
                <c:pt idx="7">
                  <c:v>8511</c:v>
                </c:pt>
                <c:pt idx="8">
                  <c:v>10068</c:v>
                </c:pt>
                <c:pt idx="9">
                  <c:v>16677</c:v>
                </c:pt>
                <c:pt idx="10">
                  <c:v>25355</c:v>
                </c:pt>
                <c:pt idx="11">
                  <c:v>39020</c:v>
                </c:pt>
                <c:pt idx="12">
                  <c:v>55036</c:v>
                </c:pt>
                <c:pt idx="13">
                  <c:v>71104.754466624552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E-4D48-8AF5-E1EC5945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97536"/>
        <c:axId val="337501456"/>
      </c:lineChart>
      <c:catAx>
        <c:axId val="337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01456"/>
        <c:crosses val="autoZero"/>
        <c:auto val="1"/>
        <c:lblAlgn val="ctr"/>
        <c:lblOffset val="100"/>
        <c:noMultiLvlLbl val="0"/>
      </c:catAx>
      <c:valAx>
        <c:axId val="33750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49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Chart 1.01 Households by District, 2024</a:t>
            </a:r>
          </a:p>
        </c:rich>
      </c:tx>
      <c:layout>
        <c:manualLayout>
          <c:xMode val="edge"/>
          <c:yMode val="edge"/>
          <c:x val="0.22602430506354393"/>
          <c:y val="2.62486358976620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95878924225385"/>
          <c:y val="0.2350794764515822"/>
          <c:w val="0.75205644748951872"/>
          <c:h val="0.62885094808693476"/>
        </c:manualLayout>
      </c:layout>
      <c:pie3DChart>
        <c:varyColors val="1"/>
        <c:ser>
          <c:idx val="0"/>
          <c:order val="0"/>
          <c:tx>
            <c:strRef>
              <c:f>'1.14'!$P$18:$P$24</c:f>
              <c:strCache>
                <c:ptCount val="7"/>
                <c:pt idx="0">
                  <c:v> 20,102 </c:v>
                </c:pt>
                <c:pt idx="1">
                  <c:v> 8,125 </c:v>
                </c:pt>
                <c:pt idx="2">
                  <c:v> 6,507 </c:v>
                </c:pt>
                <c:pt idx="3">
                  <c:v> 982 </c:v>
                </c:pt>
                <c:pt idx="4">
                  <c:v> 1,007 </c:v>
                </c:pt>
                <c:pt idx="6">
                  <c:v> 1,653 </c:v>
                </c:pt>
              </c:strCache>
            </c:strRef>
          </c:tx>
          <c:dLbls>
            <c:dLbl>
              <c:idx val="0"/>
              <c:layout>
                <c:manualLayout>
                  <c:x val="1.1174103237095372E-2"/>
                  <c:y val="-0.203028215223097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George Town
52.7%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39B-4A80-A830-BF2E771B7FAA}"/>
                </c:ext>
              </c:extLst>
            </c:dLbl>
            <c:dLbl>
              <c:idx val="1"/>
              <c:layout>
                <c:manualLayout>
                  <c:x val="-3.7045931758530208E-2"/>
                  <c:y val="-5.1365193934091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West Bay
20.5%</a:t>
                    </a:r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39B-4A80-A830-BF2E771B7FAA}"/>
                </c:ext>
              </c:extLst>
            </c:dLbl>
            <c:dLbl>
              <c:idx val="2"/>
              <c:layout>
                <c:manualLayout>
                  <c:x val="-3.9409230096237972E-2"/>
                  <c:y val="3.2861256926217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Bodden Town
18.0%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39B-4A80-A830-BF2E771B7FAA}"/>
                </c:ext>
              </c:extLst>
            </c:dLbl>
            <c:dLbl>
              <c:idx val="3"/>
              <c:layout>
                <c:manualLayout>
                  <c:x val="-4.3052930883639602E-2"/>
                  <c:y val="-2.8530183727034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North Side
2.3%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39B-4A80-A830-BF2E771B7FAA}"/>
                </c:ext>
              </c:extLst>
            </c:dLbl>
            <c:dLbl>
              <c:idx val="4"/>
              <c:layout>
                <c:manualLayout>
                  <c:x val="5.6275147424753688E-2"/>
                  <c:y val="-1.4367263498003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East End
2.5%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39B-4A80-A830-BF2E771B7FAA}"/>
                </c:ext>
              </c:extLst>
            </c:dLbl>
            <c:dLbl>
              <c:idx val="5"/>
              <c:layout>
                <c:manualLayout>
                  <c:x val="0.1656697003783619"/>
                  <c:y val="-2.0867599883347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Sister Islands 
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39B-4A80-A830-BF2E771B7F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'1.15'!$C$29:$C$34</c:f>
              <c:numCache>
                <c:formatCode>_(* #,##0_);_(* \(#,##0\);_(* "-"??_);_(@_)</c:formatCode>
                <c:ptCount val="6"/>
                <c:pt idx="0">
                  <c:v>18002.51363885809</c:v>
                </c:pt>
                <c:pt idx="1">
                  <c:v>7011.745587828691</c:v>
                </c:pt>
                <c:pt idx="2">
                  <c:v>6166.2380385530259</c:v>
                </c:pt>
                <c:pt idx="3">
                  <c:v>774.40132811116769</c:v>
                </c:pt>
                <c:pt idx="4">
                  <c:v>865.51026540420844</c:v>
                </c:pt>
                <c:pt idx="5">
                  <c:v>1312.6598177791457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39B-4A80-A830-BF2E771B7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104775</xdr:rowOff>
    </xdr:from>
    <xdr:to>
      <xdr:col>11</xdr:col>
      <xdr:colOff>228600</xdr:colOff>
      <xdr:row>44</xdr:row>
      <xdr:rowOff>114300</xdr:rowOff>
    </xdr:to>
    <xdr:pic>
      <xdr:nvPicPr>
        <xdr:cNvPr id="2" name="Picture 3" descr="Census Log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1375" y="3028950"/>
          <a:ext cx="4124325" cy="43815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0</xdr:row>
      <xdr:rowOff>142875</xdr:rowOff>
    </xdr:from>
    <xdr:to>
      <xdr:col>18</xdr:col>
      <xdr:colOff>533400</xdr:colOff>
      <xdr:row>89</xdr:row>
      <xdr:rowOff>95250</xdr:rowOff>
    </xdr:to>
    <xdr:pic>
      <xdr:nvPicPr>
        <xdr:cNvPr id="3" name="Picture 5" descr="C:\Documents and Settings\narnia_EU\Desktop\Compendium cover pages 2011\1 Populatio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450" y="142875"/>
          <a:ext cx="10763250" cy="1453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3</xdr:row>
          <xdr:rowOff>152400</xdr:rowOff>
        </xdr:from>
        <xdr:to>
          <xdr:col>6</xdr:col>
          <xdr:colOff>228600</xdr:colOff>
          <xdr:row>7</xdr:row>
          <xdr:rowOff>95250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581025</xdr:colOff>
          <xdr:row>3</xdr:row>
          <xdr:rowOff>76200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9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80962</xdr:colOff>
      <xdr:row>30</xdr:row>
      <xdr:rowOff>52387</xdr:rowOff>
    </xdr:from>
    <xdr:to>
      <xdr:col>7</xdr:col>
      <xdr:colOff>52387</xdr:colOff>
      <xdr:row>46</xdr:row>
      <xdr:rowOff>147637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47625</xdr:rowOff>
        </xdr:from>
        <xdr:to>
          <xdr:col>1</xdr:col>
          <xdr:colOff>485775</xdr:colOff>
          <xdr:row>3</xdr:row>
          <xdr:rowOff>66675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A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38100</xdr:rowOff>
        </xdr:from>
        <xdr:to>
          <xdr:col>1</xdr:col>
          <xdr:colOff>209550</xdr:colOff>
          <xdr:row>3</xdr:row>
          <xdr:rowOff>28575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28575</xdr:rowOff>
        </xdr:from>
        <xdr:to>
          <xdr:col>1</xdr:col>
          <xdr:colOff>104775</xdr:colOff>
          <xdr:row>3</xdr:row>
          <xdr:rowOff>9525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C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47625</xdr:rowOff>
        </xdr:from>
        <xdr:to>
          <xdr:col>1</xdr:col>
          <xdr:colOff>542925</xdr:colOff>
          <xdr:row>3</xdr:row>
          <xdr:rowOff>9525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D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0</xdr:col>
          <xdr:colOff>504825</xdr:colOff>
          <xdr:row>2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E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47625</xdr:rowOff>
        </xdr:from>
        <xdr:to>
          <xdr:col>1</xdr:col>
          <xdr:colOff>400050</xdr:colOff>
          <xdr:row>2</xdr:row>
          <xdr:rowOff>114300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F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676275</xdr:colOff>
          <xdr:row>3</xdr:row>
          <xdr:rowOff>28575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10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476250</xdr:colOff>
      <xdr:row>31</xdr:row>
      <xdr:rowOff>152400</xdr:rowOff>
    </xdr:from>
    <xdr:to>
      <xdr:col>13</xdr:col>
      <xdr:colOff>568324</xdr:colOff>
      <xdr:row>51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57150</xdr:rowOff>
        </xdr:from>
        <xdr:to>
          <xdr:col>1</xdr:col>
          <xdr:colOff>552450</xdr:colOff>
          <xdr:row>4</xdr:row>
          <xdr:rowOff>9525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11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257175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257175</xdr:colOff>
          <xdr:row>2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333375</xdr:colOff>
          <xdr:row>2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57150</xdr:rowOff>
        </xdr:from>
        <xdr:to>
          <xdr:col>2</xdr:col>
          <xdr:colOff>133350</xdr:colOff>
          <xdr:row>3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66675</xdr:rowOff>
        </xdr:from>
        <xdr:to>
          <xdr:col>2</xdr:col>
          <xdr:colOff>28575</xdr:colOff>
          <xdr:row>3</xdr:row>
          <xdr:rowOff>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5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2</xdr:row>
          <xdr:rowOff>114300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6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28575</xdr:rowOff>
        </xdr:from>
        <xdr:to>
          <xdr:col>1</xdr:col>
          <xdr:colOff>390525</xdr:colOff>
          <xdr:row>3</xdr:row>
          <xdr:rowOff>28575</xdr:rowOff>
        </xdr:to>
        <xdr:sp macro="" textlink="">
          <xdr:nvSpPr>
            <xdr:cNvPr id="54274" name="Object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7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28575</xdr:rowOff>
        </xdr:from>
        <xdr:to>
          <xdr:col>1</xdr:col>
          <xdr:colOff>304800</xdr:colOff>
          <xdr:row>2</xdr:row>
          <xdr:rowOff>152400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8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537002</xdr:colOff>
      <xdr:row>7</xdr:row>
      <xdr:rowOff>152399</xdr:rowOff>
    </xdr:from>
    <xdr:to>
      <xdr:col>8</xdr:col>
      <xdr:colOff>333376</xdr:colOff>
      <xdr:row>24</xdr:row>
      <xdr:rowOff>76132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8602" y="1514474"/>
          <a:ext cx="4158824" cy="270503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26</xdr:row>
      <xdr:rowOff>145242</xdr:rowOff>
    </xdr:from>
    <xdr:to>
      <xdr:col>11</xdr:col>
      <xdr:colOff>171575</xdr:colOff>
      <xdr:row>44</xdr:row>
      <xdr:rowOff>58627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612467"/>
          <a:ext cx="7572500" cy="2856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92"/>
  <sheetViews>
    <sheetView workbookViewId="0"/>
  </sheetViews>
  <sheetFormatPr defaultRowHeight="12.75" x14ac:dyDescent="0.2"/>
  <cols>
    <col min="1" max="5" width="9.140625" style="32"/>
    <col min="6" max="6" width="8.7109375" style="32" customWidth="1"/>
    <col min="7" max="9" width="9.140625" style="32"/>
    <col min="10" max="10" width="13.85546875" style="32" customWidth="1"/>
    <col min="11" max="11" width="13.42578125" style="32" customWidth="1"/>
    <col min="12" max="261" width="9.140625" style="32"/>
    <col min="262" max="262" width="8.7109375" style="32" customWidth="1"/>
    <col min="263" max="265" width="9.140625" style="32"/>
    <col min="266" max="266" width="13.85546875" style="32" customWidth="1"/>
    <col min="267" max="267" width="13.42578125" style="32" customWidth="1"/>
    <col min="268" max="517" width="9.140625" style="32"/>
    <col min="518" max="518" width="8.7109375" style="32" customWidth="1"/>
    <col min="519" max="521" width="9.140625" style="32"/>
    <col min="522" max="522" width="13.85546875" style="32" customWidth="1"/>
    <col min="523" max="523" width="13.42578125" style="32" customWidth="1"/>
    <col min="524" max="773" width="9.140625" style="32"/>
    <col min="774" max="774" width="8.7109375" style="32" customWidth="1"/>
    <col min="775" max="777" width="9.140625" style="32"/>
    <col min="778" max="778" width="13.85546875" style="32" customWidth="1"/>
    <col min="779" max="779" width="13.42578125" style="32" customWidth="1"/>
    <col min="780" max="1029" width="9.140625" style="32"/>
    <col min="1030" max="1030" width="8.7109375" style="32" customWidth="1"/>
    <col min="1031" max="1033" width="9.140625" style="32"/>
    <col min="1034" max="1034" width="13.85546875" style="32" customWidth="1"/>
    <col min="1035" max="1035" width="13.42578125" style="32" customWidth="1"/>
    <col min="1036" max="1285" width="9.140625" style="32"/>
    <col min="1286" max="1286" width="8.7109375" style="32" customWidth="1"/>
    <col min="1287" max="1289" width="9.140625" style="32"/>
    <col min="1290" max="1290" width="13.85546875" style="32" customWidth="1"/>
    <col min="1291" max="1291" width="13.42578125" style="32" customWidth="1"/>
    <col min="1292" max="1541" width="9.140625" style="32"/>
    <col min="1542" max="1542" width="8.7109375" style="32" customWidth="1"/>
    <col min="1543" max="1545" width="9.140625" style="32"/>
    <col min="1546" max="1546" width="13.85546875" style="32" customWidth="1"/>
    <col min="1547" max="1547" width="13.42578125" style="32" customWidth="1"/>
    <col min="1548" max="1797" width="9.140625" style="32"/>
    <col min="1798" max="1798" width="8.7109375" style="32" customWidth="1"/>
    <col min="1799" max="1801" width="9.140625" style="32"/>
    <col min="1802" max="1802" width="13.85546875" style="32" customWidth="1"/>
    <col min="1803" max="1803" width="13.42578125" style="32" customWidth="1"/>
    <col min="1804" max="2053" width="9.140625" style="32"/>
    <col min="2054" max="2054" width="8.7109375" style="32" customWidth="1"/>
    <col min="2055" max="2057" width="9.140625" style="32"/>
    <col min="2058" max="2058" width="13.85546875" style="32" customWidth="1"/>
    <col min="2059" max="2059" width="13.42578125" style="32" customWidth="1"/>
    <col min="2060" max="2309" width="9.140625" style="32"/>
    <col min="2310" max="2310" width="8.7109375" style="32" customWidth="1"/>
    <col min="2311" max="2313" width="9.140625" style="32"/>
    <col min="2314" max="2314" width="13.85546875" style="32" customWidth="1"/>
    <col min="2315" max="2315" width="13.42578125" style="32" customWidth="1"/>
    <col min="2316" max="2565" width="9.140625" style="32"/>
    <col min="2566" max="2566" width="8.7109375" style="32" customWidth="1"/>
    <col min="2567" max="2569" width="9.140625" style="32"/>
    <col min="2570" max="2570" width="13.85546875" style="32" customWidth="1"/>
    <col min="2571" max="2571" width="13.42578125" style="32" customWidth="1"/>
    <col min="2572" max="2821" width="9.140625" style="32"/>
    <col min="2822" max="2822" width="8.7109375" style="32" customWidth="1"/>
    <col min="2823" max="2825" width="9.140625" style="32"/>
    <col min="2826" max="2826" width="13.85546875" style="32" customWidth="1"/>
    <col min="2827" max="2827" width="13.42578125" style="32" customWidth="1"/>
    <col min="2828" max="3077" width="9.140625" style="32"/>
    <col min="3078" max="3078" width="8.7109375" style="32" customWidth="1"/>
    <col min="3079" max="3081" width="9.140625" style="32"/>
    <col min="3082" max="3082" width="13.85546875" style="32" customWidth="1"/>
    <col min="3083" max="3083" width="13.42578125" style="32" customWidth="1"/>
    <col min="3084" max="3333" width="9.140625" style="32"/>
    <col min="3334" max="3334" width="8.7109375" style="32" customWidth="1"/>
    <col min="3335" max="3337" width="9.140625" style="32"/>
    <col min="3338" max="3338" width="13.85546875" style="32" customWidth="1"/>
    <col min="3339" max="3339" width="13.42578125" style="32" customWidth="1"/>
    <col min="3340" max="3589" width="9.140625" style="32"/>
    <col min="3590" max="3590" width="8.7109375" style="32" customWidth="1"/>
    <col min="3591" max="3593" width="9.140625" style="32"/>
    <col min="3594" max="3594" width="13.85546875" style="32" customWidth="1"/>
    <col min="3595" max="3595" width="13.42578125" style="32" customWidth="1"/>
    <col min="3596" max="3845" width="9.140625" style="32"/>
    <col min="3846" max="3846" width="8.7109375" style="32" customWidth="1"/>
    <col min="3847" max="3849" width="9.140625" style="32"/>
    <col min="3850" max="3850" width="13.85546875" style="32" customWidth="1"/>
    <col min="3851" max="3851" width="13.42578125" style="32" customWidth="1"/>
    <col min="3852" max="4101" width="9.140625" style="32"/>
    <col min="4102" max="4102" width="8.7109375" style="32" customWidth="1"/>
    <col min="4103" max="4105" width="9.140625" style="32"/>
    <col min="4106" max="4106" width="13.85546875" style="32" customWidth="1"/>
    <col min="4107" max="4107" width="13.42578125" style="32" customWidth="1"/>
    <col min="4108" max="4357" width="9.140625" style="32"/>
    <col min="4358" max="4358" width="8.7109375" style="32" customWidth="1"/>
    <col min="4359" max="4361" width="9.140625" style="32"/>
    <col min="4362" max="4362" width="13.85546875" style="32" customWidth="1"/>
    <col min="4363" max="4363" width="13.42578125" style="32" customWidth="1"/>
    <col min="4364" max="4613" width="9.140625" style="32"/>
    <col min="4614" max="4614" width="8.7109375" style="32" customWidth="1"/>
    <col min="4615" max="4617" width="9.140625" style="32"/>
    <col min="4618" max="4618" width="13.85546875" style="32" customWidth="1"/>
    <col min="4619" max="4619" width="13.42578125" style="32" customWidth="1"/>
    <col min="4620" max="4869" width="9.140625" style="32"/>
    <col min="4870" max="4870" width="8.7109375" style="32" customWidth="1"/>
    <col min="4871" max="4873" width="9.140625" style="32"/>
    <col min="4874" max="4874" width="13.85546875" style="32" customWidth="1"/>
    <col min="4875" max="4875" width="13.42578125" style="32" customWidth="1"/>
    <col min="4876" max="5125" width="9.140625" style="32"/>
    <col min="5126" max="5126" width="8.7109375" style="32" customWidth="1"/>
    <col min="5127" max="5129" width="9.140625" style="32"/>
    <col min="5130" max="5130" width="13.85546875" style="32" customWidth="1"/>
    <col min="5131" max="5131" width="13.42578125" style="32" customWidth="1"/>
    <col min="5132" max="5381" width="9.140625" style="32"/>
    <col min="5382" max="5382" width="8.7109375" style="32" customWidth="1"/>
    <col min="5383" max="5385" width="9.140625" style="32"/>
    <col min="5386" max="5386" width="13.85546875" style="32" customWidth="1"/>
    <col min="5387" max="5387" width="13.42578125" style="32" customWidth="1"/>
    <col min="5388" max="5637" width="9.140625" style="32"/>
    <col min="5638" max="5638" width="8.7109375" style="32" customWidth="1"/>
    <col min="5639" max="5641" width="9.140625" style="32"/>
    <col min="5642" max="5642" width="13.85546875" style="32" customWidth="1"/>
    <col min="5643" max="5643" width="13.42578125" style="32" customWidth="1"/>
    <col min="5644" max="5893" width="9.140625" style="32"/>
    <col min="5894" max="5894" width="8.7109375" style="32" customWidth="1"/>
    <col min="5895" max="5897" width="9.140625" style="32"/>
    <col min="5898" max="5898" width="13.85546875" style="32" customWidth="1"/>
    <col min="5899" max="5899" width="13.42578125" style="32" customWidth="1"/>
    <col min="5900" max="6149" width="9.140625" style="32"/>
    <col min="6150" max="6150" width="8.7109375" style="32" customWidth="1"/>
    <col min="6151" max="6153" width="9.140625" style="32"/>
    <col min="6154" max="6154" width="13.85546875" style="32" customWidth="1"/>
    <col min="6155" max="6155" width="13.42578125" style="32" customWidth="1"/>
    <col min="6156" max="6405" width="9.140625" style="32"/>
    <col min="6406" max="6406" width="8.7109375" style="32" customWidth="1"/>
    <col min="6407" max="6409" width="9.140625" style="32"/>
    <col min="6410" max="6410" width="13.85546875" style="32" customWidth="1"/>
    <col min="6411" max="6411" width="13.42578125" style="32" customWidth="1"/>
    <col min="6412" max="6661" width="9.140625" style="32"/>
    <col min="6662" max="6662" width="8.7109375" style="32" customWidth="1"/>
    <col min="6663" max="6665" width="9.140625" style="32"/>
    <col min="6666" max="6666" width="13.85546875" style="32" customWidth="1"/>
    <col min="6667" max="6667" width="13.42578125" style="32" customWidth="1"/>
    <col min="6668" max="6917" width="9.140625" style="32"/>
    <col min="6918" max="6918" width="8.7109375" style="32" customWidth="1"/>
    <col min="6919" max="6921" width="9.140625" style="32"/>
    <col min="6922" max="6922" width="13.85546875" style="32" customWidth="1"/>
    <col min="6923" max="6923" width="13.42578125" style="32" customWidth="1"/>
    <col min="6924" max="7173" width="9.140625" style="32"/>
    <col min="7174" max="7174" width="8.7109375" style="32" customWidth="1"/>
    <col min="7175" max="7177" width="9.140625" style="32"/>
    <col min="7178" max="7178" width="13.85546875" style="32" customWidth="1"/>
    <col min="7179" max="7179" width="13.42578125" style="32" customWidth="1"/>
    <col min="7180" max="7429" width="9.140625" style="32"/>
    <col min="7430" max="7430" width="8.7109375" style="32" customWidth="1"/>
    <col min="7431" max="7433" width="9.140625" style="32"/>
    <col min="7434" max="7434" width="13.85546875" style="32" customWidth="1"/>
    <col min="7435" max="7435" width="13.42578125" style="32" customWidth="1"/>
    <col min="7436" max="7685" width="9.140625" style="32"/>
    <col min="7686" max="7686" width="8.7109375" style="32" customWidth="1"/>
    <col min="7687" max="7689" width="9.140625" style="32"/>
    <col min="7690" max="7690" width="13.85546875" style="32" customWidth="1"/>
    <col min="7691" max="7691" width="13.42578125" style="32" customWidth="1"/>
    <col min="7692" max="7941" width="9.140625" style="32"/>
    <col min="7942" max="7942" width="8.7109375" style="32" customWidth="1"/>
    <col min="7943" max="7945" width="9.140625" style="32"/>
    <col min="7946" max="7946" width="13.85546875" style="32" customWidth="1"/>
    <col min="7947" max="7947" width="13.42578125" style="32" customWidth="1"/>
    <col min="7948" max="8197" width="9.140625" style="32"/>
    <col min="8198" max="8198" width="8.7109375" style="32" customWidth="1"/>
    <col min="8199" max="8201" width="9.140625" style="32"/>
    <col min="8202" max="8202" width="13.85546875" style="32" customWidth="1"/>
    <col min="8203" max="8203" width="13.42578125" style="32" customWidth="1"/>
    <col min="8204" max="8453" width="9.140625" style="32"/>
    <col min="8454" max="8454" width="8.7109375" style="32" customWidth="1"/>
    <col min="8455" max="8457" width="9.140625" style="32"/>
    <col min="8458" max="8458" width="13.85546875" style="32" customWidth="1"/>
    <col min="8459" max="8459" width="13.42578125" style="32" customWidth="1"/>
    <col min="8460" max="8709" width="9.140625" style="32"/>
    <col min="8710" max="8710" width="8.7109375" style="32" customWidth="1"/>
    <col min="8711" max="8713" width="9.140625" style="32"/>
    <col min="8714" max="8714" width="13.85546875" style="32" customWidth="1"/>
    <col min="8715" max="8715" width="13.42578125" style="32" customWidth="1"/>
    <col min="8716" max="8965" width="9.140625" style="32"/>
    <col min="8966" max="8966" width="8.7109375" style="32" customWidth="1"/>
    <col min="8967" max="8969" width="9.140625" style="32"/>
    <col min="8970" max="8970" width="13.85546875" style="32" customWidth="1"/>
    <col min="8971" max="8971" width="13.42578125" style="32" customWidth="1"/>
    <col min="8972" max="9221" width="9.140625" style="32"/>
    <col min="9222" max="9222" width="8.7109375" style="32" customWidth="1"/>
    <col min="9223" max="9225" width="9.140625" style="32"/>
    <col min="9226" max="9226" width="13.85546875" style="32" customWidth="1"/>
    <col min="9227" max="9227" width="13.42578125" style="32" customWidth="1"/>
    <col min="9228" max="9477" width="9.140625" style="32"/>
    <col min="9478" max="9478" width="8.7109375" style="32" customWidth="1"/>
    <col min="9479" max="9481" width="9.140625" style="32"/>
    <col min="9482" max="9482" width="13.85546875" style="32" customWidth="1"/>
    <col min="9483" max="9483" width="13.42578125" style="32" customWidth="1"/>
    <col min="9484" max="9733" width="9.140625" style="32"/>
    <col min="9734" max="9734" width="8.7109375" style="32" customWidth="1"/>
    <col min="9735" max="9737" width="9.140625" style="32"/>
    <col min="9738" max="9738" width="13.85546875" style="32" customWidth="1"/>
    <col min="9739" max="9739" width="13.42578125" style="32" customWidth="1"/>
    <col min="9740" max="9989" width="9.140625" style="32"/>
    <col min="9990" max="9990" width="8.7109375" style="32" customWidth="1"/>
    <col min="9991" max="9993" width="9.140625" style="32"/>
    <col min="9994" max="9994" width="13.85546875" style="32" customWidth="1"/>
    <col min="9995" max="9995" width="13.42578125" style="32" customWidth="1"/>
    <col min="9996" max="10245" width="9.140625" style="32"/>
    <col min="10246" max="10246" width="8.7109375" style="32" customWidth="1"/>
    <col min="10247" max="10249" width="9.140625" style="32"/>
    <col min="10250" max="10250" width="13.85546875" style="32" customWidth="1"/>
    <col min="10251" max="10251" width="13.42578125" style="32" customWidth="1"/>
    <col min="10252" max="10501" width="9.140625" style="32"/>
    <col min="10502" max="10502" width="8.7109375" style="32" customWidth="1"/>
    <col min="10503" max="10505" width="9.140625" style="32"/>
    <col min="10506" max="10506" width="13.85546875" style="32" customWidth="1"/>
    <col min="10507" max="10507" width="13.42578125" style="32" customWidth="1"/>
    <col min="10508" max="10757" width="9.140625" style="32"/>
    <col min="10758" max="10758" width="8.7109375" style="32" customWidth="1"/>
    <col min="10759" max="10761" width="9.140625" style="32"/>
    <col min="10762" max="10762" width="13.85546875" style="32" customWidth="1"/>
    <col min="10763" max="10763" width="13.42578125" style="32" customWidth="1"/>
    <col min="10764" max="11013" width="9.140625" style="32"/>
    <col min="11014" max="11014" width="8.7109375" style="32" customWidth="1"/>
    <col min="11015" max="11017" width="9.140625" style="32"/>
    <col min="11018" max="11018" width="13.85546875" style="32" customWidth="1"/>
    <col min="11019" max="11019" width="13.42578125" style="32" customWidth="1"/>
    <col min="11020" max="11269" width="9.140625" style="32"/>
    <col min="11270" max="11270" width="8.7109375" style="32" customWidth="1"/>
    <col min="11271" max="11273" width="9.140625" style="32"/>
    <col min="11274" max="11274" width="13.85546875" style="32" customWidth="1"/>
    <col min="11275" max="11275" width="13.42578125" style="32" customWidth="1"/>
    <col min="11276" max="11525" width="9.140625" style="32"/>
    <col min="11526" max="11526" width="8.7109375" style="32" customWidth="1"/>
    <col min="11527" max="11529" width="9.140625" style="32"/>
    <col min="11530" max="11530" width="13.85546875" style="32" customWidth="1"/>
    <col min="11531" max="11531" width="13.42578125" style="32" customWidth="1"/>
    <col min="11532" max="11781" width="9.140625" style="32"/>
    <col min="11782" max="11782" width="8.7109375" style="32" customWidth="1"/>
    <col min="11783" max="11785" width="9.140625" style="32"/>
    <col min="11786" max="11786" width="13.85546875" style="32" customWidth="1"/>
    <col min="11787" max="11787" width="13.42578125" style="32" customWidth="1"/>
    <col min="11788" max="12037" width="9.140625" style="32"/>
    <col min="12038" max="12038" width="8.7109375" style="32" customWidth="1"/>
    <col min="12039" max="12041" width="9.140625" style="32"/>
    <col min="12042" max="12042" width="13.85546875" style="32" customWidth="1"/>
    <col min="12043" max="12043" width="13.42578125" style="32" customWidth="1"/>
    <col min="12044" max="12293" width="9.140625" style="32"/>
    <col min="12294" max="12294" width="8.7109375" style="32" customWidth="1"/>
    <col min="12295" max="12297" width="9.140625" style="32"/>
    <col min="12298" max="12298" width="13.85546875" style="32" customWidth="1"/>
    <col min="12299" max="12299" width="13.42578125" style="32" customWidth="1"/>
    <col min="12300" max="12549" width="9.140625" style="32"/>
    <col min="12550" max="12550" width="8.7109375" style="32" customWidth="1"/>
    <col min="12551" max="12553" width="9.140625" style="32"/>
    <col min="12554" max="12554" width="13.85546875" style="32" customWidth="1"/>
    <col min="12555" max="12555" width="13.42578125" style="32" customWidth="1"/>
    <col min="12556" max="12805" width="9.140625" style="32"/>
    <col min="12806" max="12806" width="8.7109375" style="32" customWidth="1"/>
    <col min="12807" max="12809" width="9.140625" style="32"/>
    <col min="12810" max="12810" width="13.85546875" style="32" customWidth="1"/>
    <col min="12811" max="12811" width="13.42578125" style="32" customWidth="1"/>
    <col min="12812" max="13061" width="9.140625" style="32"/>
    <col min="13062" max="13062" width="8.7109375" style="32" customWidth="1"/>
    <col min="13063" max="13065" width="9.140625" style="32"/>
    <col min="13066" max="13066" width="13.85546875" style="32" customWidth="1"/>
    <col min="13067" max="13067" width="13.42578125" style="32" customWidth="1"/>
    <col min="13068" max="13317" width="9.140625" style="32"/>
    <col min="13318" max="13318" width="8.7109375" style="32" customWidth="1"/>
    <col min="13319" max="13321" width="9.140625" style="32"/>
    <col min="13322" max="13322" width="13.85546875" style="32" customWidth="1"/>
    <col min="13323" max="13323" width="13.42578125" style="32" customWidth="1"/>
    <col min="13324" max="13573" width="9.140625" style="32"/>
    <col min="13574" max="13574" width="8.7109375" style="32" customWidth="1"/>
    <col min="13575" max="13577" width="9.140625" style="32"/>
    <col min="13578" max="13578" width="13.85546875" style="32" customWidth="1"/>
    <col min="13579" max="13579" width="13.42578125" style="32" customWidth="1"/>
    <col min="13580" max="13829" width="9.140625" style="32"/>
    <col min="13830" max="13830" width="8.7109375" style="32" customWidth="1"/>
    <col min="13831" max="13833" width="9.140625" style="32"/>
    <col min="13834" max="13834" width="13.85546875" style="32" customWidth="1"/>
    <col min="13835" max="13835" width="13.42578125" style="32" customWidth="1"/>
    <col min="13836" max="14085" width="9.140625" style="32"/>
    <col min="14086" max="14086" width="8.7109375" style="32" customWidth="1"/>
    <col min="14087" max="14089" width="9.140625" style="32"/>
    <col min="14090" max="14090" width="13.85546875" style="32" customWidth="1"/>
    <col min="14091" max="14091" width="13.42578125" style="32" customWidth="1"/>
    <col min="14092" max="14341" width="9.140625" style="32"/>
    <col min="14342" max="14342" width="8.7109375" style="32" customWidth="1"/>
    <col min="14343" max="14345" width="9.140625" style="32"/>
    <col min="14346" max="14346" width="13.85546875" style="32" customWidth="1"/>
    <col min="14347" max="14347" width="13.42578125" style="32" customWidth="1"/>
    <col min="14348" max="14597" width="9.140625" style="32"/>
    <col min="14598" max="14598" width="8.7109375" style="32" customWidth="1"/>
    <col min="14599" max="14601" width="9.140625" style="32"/>
    <col min="14602" max="14602" width="13.85546875" style="32" customWidth="1"/>
    <col min="14603" max="14603" width="13.42578125" style="32" customWidth="1"/>
    <col min="14604" max="14853" width="9.140625" style="32"/>
    <col min="14854" max="14854" width="8.7109375" style="32" customWidth="1"/>
    <col min="14855" max="14857" width="9.140625" style="32"/>
    <col min="14858" max="14858" width="13.85546875" style="32" customWidth="1"/>
    <col min="14859" max="14859" width="13.42578125" style="32" customWidth="1"/>
    <col min="14860" max="15109" width="9.140625" style="32"/>
    <col min="15110" max="15110" width="8.7109375" style="32" customWidth="1"/>
    <col min="15111" max="15113" width="9.140625" style="32"/>
    <col min="15114" max="15114" width="13.85546875" style="32" customWidth="1"/>
    <col min="15115" max="15115" width="13.42578125" style="32" customWidth="1"/>
    <col min="15116" max="15365" width="9.140625" style="32"/>
    <col min="15366" max="15366" width="8.7109375" style="32" customWidth="1"/>
    <col min="15367" max="15369" width="9.140625" style="32"/>
    <col min="15370" max="15370" width="13.85546875" style="32" customWidth="1"/>
    <col min="15371" max="15371" width="13.42578125" style="32" customWidth="1"/>
    <col min="15372" max="15621" width="9.140625" style="32"/>
    <col min="15622" max="15622" width="8.7109375" style="32" customWidth="1"/>
    <col min="15623" max="15625" width="9.140625" style="32"/>
    <col min="15626" max="15626" width="13.85546875" style="32" customWidth="1"/>
    <col min="15627" max="15627" width="13.42578125" style="32" customWidth="1"/>
    <col min="15628" max="15877" width="9.140625" style="32"/>
    <col min="15878" max="15878" width="8.7109375" style="32" customWidth="1"/>
    <col min="15879" max="15881" width="9.140625" style="32"/>
    <col min="15882" max="15882" width="13.85546875" style="32" customWidth="1"/>
    <col min="15883" max="15883" width="13.42578125" style="32" customWidth="1"/>
    <col min="15884" max="16133" width="9.140625" style="32"/>
    <col min="16134" max="16134" width="8.7109375" style="32" customWidth="1"/>
    <col min="16135" max="16137" width="9.140625" style="32"/>
    <col min="16138" max="16138" width="13.85546875" style="32" customWidth="1"/>
    <col min="16139" max="16139" width="13.42578125" style="32" customWidth="1"/>
    <col min="16140" max="16384" width="9.140625" style="32"/>
  </cols>
  <sheetData>
    <row r="1" spans="3:19" x14ac:dyDescent="0.2"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3:19" x14ac:dyDescent="0.2"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3:19" x14ac:dyDescent="0.2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3:19" ht="16.5" x14ac:dyDescent="0.3">
      <c r="C4" s="31"/>
      <c r="D4" s="31"/>
      <c r="E4" s="31"/>
      <c r="F4" s="31"/>
      <c r="G4" s="31"/>
      <c r="H4" s="31"/>
      <c r="I4" s="33"/>
      <c r="J4" s="33"/>
      <c r="K4" s="31"/>
      <c r="L4" s="31"/>
      <c r="M4" s="31"/>
      <c r="N4" s="31"/>
      <c r="O4" s="31"/>
      <c r="P4" s="31"/>
      <c r="Q4" s="31"/>
      <c r="R4" s="31"/>
      <c r="S4" s="31"/>
    </row>
    <row r="5" spans="3:19" s="34" customFormat="1" ht="9" customHeight="1" x14ac:dyDescent="0.2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3:19" ht="18.75" x14ac:dyDescent="0.3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5" t="s">
        <v>89</v>
      </c>
      <c r="S6" s="31"/>
    </row>
    <row r="7" spans="3:19" x14ac:dyDescent="0.2"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3:19" x14ac:dyDescent="0.2"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3:19" x14ac:dyDescent="0.2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3:19" ht="20.25" x14ac:dyDescent="0.3">
      <c r="C10" s="31"/>
      <c r="D10" s="36">
        <v>11</v>
      </c>
      <c r="E10" s="37" t="s">
        <v>90</v>
      </c>
      <c r="F10" s="31"/>
      <c r="G10" s="37"/>
      <c r="H10" s="37"/>
      <c r="I10" s="37"/>
      <c r="J10" s="37"/>
      <c r="K10" s="37"/>
      <c r="L10" s="31"/>
      <c r="M10" s="31"/>
      <c r="N10" s="31"/>
      <c r="O10" s="31"/>
      <c r="P10" s="31"/>
      <c r="Q10" s="31"/>
      <c r="R10" s="31"/>
      <c r="S10" s="31"/>
    </row>
    <row r="11" spans="3:19" x14ac:dyDescent="0.2"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3:19" x14ac:dyDescent="0.2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3:19" x14ac:dyDescent="0.2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3:19" x14ac:dyDescent="0.2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3:19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3:19" x14ac:dyDescent="0.2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3:19" x14ac:dyDescent="0.2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3:19" x14ac:dyDescent="0.2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3:19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3:19" x14ac:dyDescent="0.2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3:19" x14ac:dyDescent="0.2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3:19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3:19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3:19" x14ac:dyDescent="0.2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3:19" x14ac:dyDescent="0.2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3:19" x14ac:dyDescent="0.2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3:19" x14ac:dyDescent="0.2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3:19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3:19" x14ac:dyDescent="0.2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3:19" x14ac:dyDescent="0.2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3:19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3:19" x14ac:dyDescent="0.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3:19" x14ac:dyDescent="0.2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3:19" x14ac:dyDescent="0.2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3:19" x14ac:dyDescent="0.2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3:19" x14ac:dyDescent="0.2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3:19" x14ac:dyDescent="0.2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3:19" x14ac:dyDescent="0.2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3:19" x14ac:dyDescent="0.2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3:19" x14ac:dyDescent="0.2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3:19" x14ac:dyDescent="0.2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3:19" x14ac:dyDescent="0.2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3:19" x14ac:dyDescent="0.2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3:19" x14ac:dyDescent="0.2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3:19" x14ac:dyDescent="0.2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3:19" x14ac:dyDescent="0.2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3:19" x14ac:dyDescent="0.2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3:19" x14ac:dyDescent="0.2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3:19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3:19" x14ac:dyDescent="0.2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3:19" x14ac:dyDescent="0.2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3:19" x14ac:dyDescent="0.2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3:19" x14ac:dyDescent="0.2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3:19" x14ac:dyDescent="0.2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3:19" x14ac:dyDescent="0.2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3:19" s="34" customFormat="1" ht="10.5" customHeight="1" x14ac:dyDescent="0.2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3:19" s="34" customFormat="1" ht="15" customHeight="1" x14ac:dyDescent="0.2">
      <c r="C57" s="375">
        <v>75</v>
      </c>
      <c r="D57" s="375"/>
      <c r="E57" s="375"/>
      <c r="F57" s="375"/>
      <c r="G57" s="375"/>
      <c r="H57" s="375"/>
      <c r="I57" s="375"/>
      <c r="J57" s="375"/>
      <c r="K57" s="375"/>
      <c r="L57" s="31"/>
      <c r="M57" s="31"/>
      <c r="N57" s="31"/>
      <c r="O57" s="31"/>
      <c r="P57" s="31"/>
      <c r="Q57" s="31"/>
      <c r="R57" s="31"/>
      <c r="S57" s="31"/>
    </row>
    <row r="58" spans="3:19" x14ac:dyDescent="0.2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3:19" x14ac:dyDescent="0.2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3:19" x14ac:dyDescent="0.2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3:19" x14ac:dyDescent="0.2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3:19" x14ac:dyDescent="0.2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3:19" x14ac:dyDescent="0.2"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3:19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3:19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3:19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3:19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3:19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3:19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3:19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3:19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3:19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3:19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3:19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3:19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3:19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3:19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3:19" x14ac:dyDescent="0.2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3:19" x14ac:dyDescent="0.2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3:19" x14ac:dyDescent="0.2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3:19" x14ac:dyDescent="0.2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3:19" x14ac:dyDescent="0.2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3:19" x14ac:dyDescent="0.2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3:19" x14ac:dyDescent="0.2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3:19" x14ac:dyDescent="0.2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3:19" x14ac:dyDescent="0.2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3:19" x14ac:dyDescent="0.2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3:19" x14ac:dyDescent="0.2">
      <c r="C88" s="31"/>
      <c r="D88" s="31"/>
      <c r="E88" s="31"/>
      <c r="F88" s="31"/>
      <c r="G88" s="375">
        <v>75</v>
      </c>
      <c r="H88" s="375"/>
      <c r="I88" s="375"/>
      <c r="J88" s="375"/>
      <c r="K88" s="375"/>
      <c r="L88" s="375"/>
      <c r="M88" s="375"/>
      <c r="N88" s="375"/>
      <c r="O88" s="375"/>
      <c r="P88" s="31"/>
      <c r="Q88" s="31"/>
      <c r="R88" s="31"/>
      <c r="S88" s="31"/>
    </row>
    <row r="89" spans="3:19" x14ac:dyDescent="0.2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3:19" x14ac:dyDescent="0.2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3:19" x14ac:dyDescent="0.2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</row>
    <row r="92" spans="3:19" x14ac:dyDescent="0.2"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</row>
  </sheetData>
  <mergeCells count="2">
    <mergeCell ref="C57:K57"/>
    <mergeCell ref="G88:O88"/>
  </mergeCells>
  <printOptions horizontalCentered="1"/>
  <pageMargins left="0.5" right="0.5" top="1" bottom="0.99" header="0.5" footer="0.24"/>
  <pageSetup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9457" r:id="rId4">
          <objectPr defaultSize="0" autoPict="0" r:id="rId5">
            <anchor moveWithCells="1" sizeWithCells="1">
              <from>
                <xdr:col>3</xdr:col>
                <xdr:colOff>371475</xdr:colOff>
                <xdr:row>3</xdr:row>
                <xdr:rowOff>152400</xdr:rowOff>
              </from>
              <to>
                <xdr:col>6</xdr:col>
                <xdr:colOff>228600</xdr:colOff>
                <xdr:row>7</xdr:row>
                <xdr:rowOff>95250</xdr:rowOff>
              </to>
            </anchor>
          </objectPr>
        </oleObject>
      </mc:Choice>
      <mc:Fallback>
        <oleObject progId="MSPhotoEd.3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54"/>
  <sheetViews>
    <sheetView workbookViewId="0">
      <selection activeCell="I20" sqref="I20"/>
    </sheetView>
  </sheetViews>
  <sheetFormatPr defaultRowHeight="12.75" x14ac:dyDescent="0.2"/>
  <cols>
    <col min="1" max="1" width="9.140625" style="46"/>
    <col min="2" max="2" width="10.28515625" style="46" customWidth="1"/>
    <col min="3" max="3" width="10.42578125" style="46" bestFit="1" customWidth="1"/>
    <col min="4" max="4" width="13.42578125" style="46" customWidth="1"/>
    <col min="5" max="5" width="13" style="46" customWidth="1"/>
    <col min="6" max="6" width="10" style="46" customWidth="1"/>
    <col min="7" max="7" width="11.85546875" style="46" customWidth="1"/>
    <col min="8" max="8" width="9.85546875" style="46" bestFit="1" customWidth="1"/>
    <col min="9" max="16384" width="9.140625" style="46"/>
  </cols>
  <sheetData>
    <row r="2" spans="2:10" x14ac:dyDescent="0.2">
      <c r="F2" s="65" t="s">
        <v>314</v>
      </c>
    </row>
    <row r="3" spans="2:10" x14ac:dyDescent="0.2">
      <c r="G3" s="44"/>
      <c r="H3" s="57"/>
      <c r="J3" s="57"/>
    </row>
    <row r="4" spans="2:10" ht="9" customHeight="1" x14ac:dyDescent="0.2"/>
    <row r="5" spans="2:10" x14ac:dyDescent="0.2">
      <c r="C5" s="58">
        <v>1.07</v>
      </c>
      <c r="D5" s="392" t="s">
        <v>137</v>
      </c>
      <c r="E5" s="392"/>
      <c r="F5" s="392"/>
    </row>
    <row r="6" spans="2:10" x14ac:dyDescent="0.2">
      <c r="D6" s="393"/>
      <c r="E6" s="393"/>
      <c r="F6" s="393"/>
    </row>
    <row r="7" spans="2:10" x14ac:dyDescent="0.2">
      <c r="B7" s="58"/>
      <c r="C7" s="115"/>
      <c r="D7" s="115"/>
      <c r="E7" s="115"/>
      <c r="F7" s="115"/>
    </row>
    <row r="8" spans="2:10" x14ac:dyDescent="0.2">
      <c r="B8" s="58"/>
    </row>
    <row r="9" spans="2:10" x14ac:dyDescent="0.2">
      <c r="G9" s="74"/>
      <c r="H9" s="74"/>
    </row>
    <row r="10" spans="2:10" ht="25.5" x14ac:dyDescent="0.2">
      <c r="C10" s="172" t="s">
        <v>22</v>
      </c>
      <c r="D10" s="172" t="s">
        <v>23</v>
      </c>
      <c r="E10" s="172" t="s">
        <v>101</v>
      </c>
      <c r="F10" s="172" t="s">
        <v>100</v>
      </c>
      <c r="H10" s="50"/>
    </row>
    <row r="11" spans="2:10" x14ac:dyDescent="0.2">
      <c r="D11" s="59"/>
      <c r="E11" s="59"/>
      <c r="F11" s="59"/>
      <c r="H11" s="74"/>
    </row>
    <row r="12" spans="2:10" x14ac:dyDescent="0.2">
      <c r="C12" s="71">
        <v>1802</v>
      </c>
      <c r="D12" s="173">
        <v>933</v>
      </c>
      <c r="F12" s="174"/>
      <c r="H12" s="137"/>
    </row>
    <row r="13" spans="2:10" x14ac:dyDescent="0.2">
      <c r="C13" s="71">
        <v>1891</v>
      </c>
      <c r="D13" s="173">
        <v>4322</v>
      </c>
      <c r="E13" s="174">
        <f t="shared" ref="E13:E24" si="0">+((D13/D12)-1)*100</f>
        <v>363.23687031082528</v>
      </c>
      <c r="F13" s="174">
        <v>1.7</v>
      </c>
      <c r="H13" s="50"/>
    </row>
    <row r="14" spans="2:10" x14ac:dyDescent="0.2">
      <c r="C14" s="71">
        <v>1911</v>
      </c>
      <c r="D14" s="173">
        <v>5564</v>
      </c>
      <c r="E14" s="174">
        <f t="shared" si="0"/>
        <v>28.736695974086079</v>
      </c>
      <c r="F14" s="174">
        <v>1.3</v>
      </c>
      <c r="H14" s="175"/>
    </row>
    <row r="15" spans="2:10" x14ac:dyDescent="0.2">
      <c r="C15" s="71">
        <v>1921</v>
      </c>
      <c r="D15" s="173">
        <v>5270</v>
      </c>
      <c r="E15" s="174">
        <f t="shared" si="0"/>
        <v>-5.2839683680805161</v>
      </c>
      <c r="F15" s="174">
        <v>-0.5</v>
      </c>
      <c r="H15" s="128"/>
    </row>
    <row r="16" spans="2:10" x14ac:dyDescent="0.2">
      <c r="C16" s="71">
        <v>1934</v>
      </c>
      <c r="D16" s="173">
        <v>5930</v>
      </c>
      <c r="E16" s="174">
        <f t="shared" si="0"/>
        <v>12.523719165085389</v>
      </c>
      <c r="F16" s="174">
        <v>0.91</v>
      </c>
      <c r="H16" s="52"/>
    </row>
    <row r="17" spans="2:8" x14ac:dyDescent="0.2">
      <c r="C17" s="71">
        <v>1943</v>
      </c>
      <c r="D17" s="173">
        <v>6690</v>
      </c>
      <c r="E17" s="174">
        <f t="shared" si="0"/>
        <v>12.816188870151768</v>
      </c>
      <c r="F17" s="174">
        <v>1.34</v>
      </c>
      <c r="H17" s="52"/>
    </row>
    <row r="18" spans="2:8" x14ac:dyDescent="0.2">
      <c r="C18" s="71">
        <v>1960</v>
      </c>
      <c r="D18" s="173">
        <v>8511</v>
      </c>
      <c r="E18" s="174">
        <f t="shared" si="0"/>
        <v>27.219730941704047</v>
      </c>
      <c r="F18" s="174">
        <v>1.43</v>
      </c>
      <c r="H18" s="52"/>
    </row>
    <row r="19" spans="2:8" x14ac:dyDescent="0.2">
      <c r="C19" s="176">
        <v>1970</v>
      </c>
      <c r="D19" s="177">
        <v>10068</v>
      </c>
      <c r="E19" s="174">
        <f t="shared" si="0"/>
        <v>18.293972506168487</v>
      </c>
      <c r="F19" s="174">
        <v>1.69</v>
      </c>
      <c r="H19" s="52"/>
    </row>
    <row r="20" spans="2:8" ht="15" customHeight="1" x14ac:dyDescent="0.2">
      <c r="C20" s="71">
        <v>1979</v>
      </c>
      <c r="D20" s="173">
        <v>16677</v>
      </c>
      <c r="E20" s="174">
        <f t="shared" si="0"/>
        <v>65.643623361144222</v>
      </c>
      <c r="F20" s="174">
        <v>5.77</v>
      </c>
      <c r="H20" s="52"/>
    </row>
    <row r="21" spans="2:8" x14ac:dyDescent="0.2">
      <c r="C21" s="71">
        <v>1989</v>
      </c>
      <c r="D21" s="173">
        <v>25355</v>
      </c>
      <c r="E21" s="174">
        <f t="shared" si="0"/>
        <v>52.035737842537635</v>
      </c>
      <c r="F21" s="174">
        <v>4.28</v>
      </c>
      <c r="H21" s="59"/>
    </row>
    <row r="22" spans="2:8" x14ac:dyDescent="0.2">
      <c r="C22" s="71">
        <v>1999</v>
      </c>
      <c r="D22" s="173">
        <v>39020</v>
      </c>
      <c r="E22" s="174">
        <f t="shared" si="0"/>
        <v>53.894695326365614</v>
      </c>
      <c r="F22" s="174">
        <v>4.41</v>
      </c>
      <c r="H22" s="59"/>
    </row>
    <row r="23" spans="2:8" x14ac:dyDescent="0.2">
      <c r="C23" s="71">
        <v>2010</v>
      </c>
      <c r="D23" s="178">
        <v>55036</v>
      </c>
      <c r="E23" s="179">
        <f t="shared" si="0"/>
        <v>41.045617631983603</v>
      </c>
      <c r="F23" s="174">
        <v>3.18</v>
      </c>
      <c r="H23" s="59"/>
    </row>
    <row r="24" spans="2:8" x14ac:dyDescent="0.2">
      <c r="C24" s="71">
        <v>2021</v>
      </c>
      <c r="D24" s="178">
        <v>71104.754466624552</v>
      </c>
      <c r="E24" s="179">
        <f t="shared" si="0"/>
        <v>29.19680657501371</v>
      </c>
      <c r="F24" s="174">
        <v>4.18</v>
      </c>
      <c r="H24" s="59"/>
    </row>
    <row r="25" spans="2:8" x14ac:dyDescent="0.2">
      <c r="C25" s="75"/>
      <c r="D25" s="180"/>
      <c r="E25" s="181"/>
      <c r="F25" s="182"/>
      <c r="H25" s="59"/>
    </row>
    <row r="26" spans="2:8" x14ac:dyDescent="0.2">
      <c r="B26" s="74"/>
      <c r="C26" s="74"/>
      <c r="D26" s="74"/>
      <c r="E26" s="74"/>
      <c r="F26" s="74"/>
      <c r="G26" s="74"/>
      <c r="H26" s="74"/>
    </row>
    <row r="27" spans="2:8" x14ac:dyDescent="0.2">
      <c r="B27" s="50"/>
      <c r="D27" s="50"/>
      <c r="E27" s="50"/>
      <c r="F27" s="50"/>
      <c r="G27" s="50"/>
      <c r="H27" s="50"/>
    </row>
    <row r="28" spans="2:8" x14ac:dyDescent="0.2">
      <c r="B28" s="122"/>
      <c r="C28" s="394"/>
      <c r="D28" s="394"/>
      <c r="E28" s="394"/>
      <c r="F28" s="394"/>
      <c r="G28" s="394"/>
      <c r="H28" s="394"/>
    </row>
    <row r="29" spans="2:8" ht="15" x14ac:dyDescent="0.25">
      <c r="B29" s="122"/>
      <c r="C29" s="65" t="s">
        <v>114</v>
      </c>
      <c r="D29" s="43" t="s">
        <v>136</v>
      </c>
      <c r="E29" s="43"/>
      <c r="F29" s="43"/>
      <c r="G29" s="137"/>
      <c r="H29" s="137"/>
    </row>
    <row r="30" spans="2:8" x14ac:dyDescent="0.2">
      <c r="B30" s="50"/>
      <c r="C30" s="50"/>
      <c r="D30" s="50"/>
      <c r="E30" s="50"/>
      <c r="F30" s="50"/>
      <c r="G30" s="50"/>
      <c r="H30" s="50"/>
    </row>
    <row r="31" spans="2:8" x14ac:dyDescent="0.2">
      <c r="B31" s="122"/>
      <c r="C31" s="49"/>
      <c r="D31" s="175"/>
      <c r="E31" s="49"/>
      <c r="F31" s="175"/>
      <c r="G31" s="49"/>
      <c r="H31" s="175"/>
    </row>
    <row r="32" spans="2:8" x14ac:dyDescent="0.2">
      <c r="B32" s="50"/>
      <c r="C32" s="51"/>
      <c r="D32" s="128"/>
      <c r="E32" s="51"/>
      <c r="F32" s="128"/>
      <c r="G32" s="51"/>
      <c r="H32" s="128"/>
    </row>
    <row r="33" spans="2:8" x14ac:dyDescent="0.2">
      <c r="B33" s="50"/>
      <c r="C33" s="53"/>
      <c r="D33" s="183"/>
      <c r="E33" s="51"/>
      <c r="F33" s="52"/>
      <c r="G33" s="51"/>
      <c r="H33" s="52"/>
    </row>
    <row r="34" spans="2:8" x14ac:dyDescent="0.2">
      <c r="B34" s="50"/>
      <c r="C34" s="53"/>
      <c r="D34" s="183"/>
      <c r="E34" s="51"/>
      <c r="F34" s="52"/>
      <c r="G34" s="51"/>
      <c r="H34" s="52"/>
    </row>
    <row r="35" spans="2:8" x14ac:dyDescent="0.2">
      <c r="B35" s="50"/>
      <c r="C35" s="53"/>
      <c r="D35" s="183"/>
      <c r="E35" s="51"/>
      <c r="F35" s="52"/>
      <c r="G35" s="51"/>
      <c r="H35" s="52"/>
    </row>
    <row r="36" spans="2:8" ht="15" customHeight="1" x14ac:dyDescent="0.2"/>
    <row r="37" spans="2:8" x14ac:dyDescent="0.2">
      <c r="B37" s="50"/>
      <c r="C37" s="53"/>
      <c r="D37" s="183"/>
      <c r="E37" s="51"/>
      <c r="F37" s="52"/>
      <c r="G37" s="51"/>
      <c r="H37" s="52"/>
    </row>
    <row r="38" spans="2:8" ht="15" customHeight="1" x14ac:dyDescent="0.2">
      <c r="B38" s="184"/>
      <c r="C38" s="51"/>
      <c r="D38" s="183"/>
      <c r="E38" s="51"/>
      <c r="F38" s="52"/>
      <c r="G38" s="51"/>
      <c r="H38" s="52"/>
    </row>
    <row r="39" spans="2:8" x14ac:dyDescent="0.2">
      <c r="B39" s="59"/>
      <c r="C39" s="59"/>
      <c r="D39" s="59"/>
      <c r="E39" s="59"/>
      <c r="F39" s="59"/>
      <c r="G39" s="59"/>
      <c r="H39" s="59"/>
    </row>
    <row r="49" spans="1:10" x14ac:dyDescent="0.2">
      <c r="B49" s="55"/>
      <c r="D49" s="55"/>
      <c r="E49" s="55"/>
      <c r="F49" s="55"/>
      <c r="G49" s="55"/>
      <c r="H49" s="55"/>
      <c r="I49" s="55"/>
    </row>
    <row r="51" spans="1:10" x14ac:dyDescent="0.2">
      <c r="B51" s="55" t="s">
        <v>38</v>
      </c>
    </row>
    <row r="52" spans="1:10" x14ac:dyDescent="0.2">
      <c r="B52" s="55"/>
    </row>
    <row r="53" spans="1:10" ht="12.75" customHeight="1" x14ac:dyDescent="0.2">
      <c r="A53" s="76"/>
      <c r="B53" s="76"/>
      <c r="C53" s="76"/>
      <c r="D53" s="76"/>
      <c r="E53" s="76"/>
      <c r="F53" s="76"/>
      <c r="G53" s="76"/>
      <c r="H53" s="76"/>
      <c r="I53" s="76"/>
      <c r="J53" s="76"/>
    </row>
    <row r="54" spans="1:10" x14ac:dyDescent="0.2">
      <c r="A54" s="275"/>
      <c r="B54" s="275"/>
      <c r="C54" s="275"/>
      <c r="D54" s="275"/>
      <c r="E54" s="275"/>
      <c r="F54" s="275"/>
      <c r="G54" s="275"/>
      <c r="H54" s="275"/>
    </row>
  </sheetData>
  <mergeCells count="4">
    <mergeCell ref="D5:F6"/>
    <mergeCell ref="C28:D28"/>
    <mergeCell ref="E28:F28"/>
    <mergeCell ref="G28:H28"/>
  </mergeCells>
  <pageMargins left="0.7" right="0.7" top="0.75" bottom="0.75" header="0.3" footer="0.3"/>
  <pageSetup scale="9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73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581025</xdr:colOff>
                <xdr:row>3</xdr:row>
                <xdr:rowOff>76200</xdr:rowOff>
              </to>
            </anchor>
          </objectPr>
        </oleObject>
      </mc:Choice>
      <mc:Fallback>
        <oleObject progId="MSPhotoEd.3" shapeId="5734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G69"/>
  <sheetViews>
    <sheetView topLeftCell="A34" workbookViewId="0">
      <selection activeCell="P6" sqref="P6"/>
    </sheetView>
  </sheetViews>
  <sheetFormatPr defaultRowHeight="15" x14ac:dyDescent="0.25"/>
  <cols>
    <col min="1" max="1" width="9.140625" style="46"/>
    <col min="2" max="2" width="16.140625" style="65" customWidth="1"/>
    <col min="3" max="3" width="8" style="65" customWidth="1"/>
    <col min="4" max="9" width="9.42578125" style="46" customWidth="1"/>
    <col min="10" max="10" width="10.42578125" style="93" customWidth="1"/>
    <col min="11" max="11" width="9.140625" style="46"/>
    <col min="12" max="33" width="9.140625" style="42"/>
    <col min="34" max="16384" width="9.140625" style="46"/>
  </cols>
  <sheetData>
    <row r="2" spans="2:33" x14ac:dyDescent="0.25">
      <c r="H2" s="65" t="s">
        <v>314</v>
      </c>
    </row>
    <row r="3" spans="2:33" x14ac:dyDescent="0.25">
      <c r="I3" s="44"/>
      <c r="J3" s="57"/>
    </row>
    <row r="6" spans="2:33" x14ac:dyDescent="0.25">
      <c r="B6" s="92">
        <v>1.08</v>
      </c>
      <c r="C6" s="396" t="s">
        <v>298</v>
      </c>
      <c r="D6" s="396"/>
      <c r="E6" s="396"/>
      <c r="F6" s="396"/>
      <c r="G6" s="396"/>
      <c r="H6" s="396"/>
      <c r="I6" s="396"/>
      <c r="J6" s="396"/>
    </row>
    <row r="7" spans="2:33" x14ac:dyDescent="0.25">
      <c r="B7" s="92"/>
      <c r="C7" s="118"/>
      <c r="D7" s="118"/>
      <c r="E7" s="118"/>
      <c r="F7" s="118"/>
      <c r="G7" s="118"/>
      <c r="H7" s="118"/>
      <c r="I7" s="118"/>
      <c r="J7" s="118"/>
    </row>
    <row r="8" spans="2:33" s="54" customFormat="1" x14ac:dyDescent="0.25">
      <c r="B8" s="185"/>
      <c r="C8" s="185"/>
      <c r="J8" s="186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2:33" s="65" customFormat="1" x14ac:dyDescent="0.25">
      <c r="B9" s="395" t="s">
        <v>132</v>
      </c>
      <c r="C9" s="187"/>
      <c r="D9" s="188" t="s">
        <v>1</v>
      </c>
      <c r="E9" s="188" t="s">
        <v>92</v>
      </c>
      <c r="F9" s="188" t="s">
        <v>91</v>
      </c>
      <c r="G9" s="188" t="s">
        <v>93</v>
      </c>
      <c r="H9" s="188" t="s">
        <v>94</v>
      </c>
      <c r="I9" s="188" t="s">
        <v>20</v>
      </c>
      <c r="J9" s="189" t="s">
        <v>68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2:33" ht="21.75" customHeight="1" x14ac:dyDescent="0.25">
      <c r="B10" s="395"/>
      <c r="C10" s="187" t="s">
        <v>1</v>
      </c>
      <c r="D10" s="53">
        <f>SUM(E10:J10)</f>
        <v>71104.754466639701</v>
      </c>
      <c r="E10" s="53">
        <v>11314.667751410881</v>
      </c>
      <c r="F10" s="53">
        <v>12250.884119830596</v>
      </c>
      <c r="G10" s="53">
        <v>27291.492412152438</v>
      </c>
      <c r="H10" s="53">
        <v>14130.474493652131</v>
      </c>
      <c r="I10" s="53">
        <v>5602.0474907221969</v>
      </c>
      <c r="J10" s="190">
        <v>515.18819887146287</v>
      </c>
    </row>
    <row r="11" spans="2:33" x14ac:dyDescent="0.25">
      <c r="B11" s="191"/>
      <c r="C11" s="187" t="s">
        <v>2</v>
      </c>
      <c r="D11" s="53">
        <f t="shared" ref="D11:D13" si="0">SUM(E11:J11)</f>
        <v>35983.662691786158</v>
      </c>
      <c r="E11" s="53">
        <v>5754.9630606498658</v>
      </c>
      <c r="F11" s="53">
        <v>6183.5498265375627</v>
      </c>
      <c r="G11" s="53">
        <v>14035.960381474726</v>
      </c>
      <c r="H11" s="53">
        <v>7116.596937289065</v>
      </c>
      <c r="I11" s="53">
        <v>2606.7084670793652</v>
      </c>
      <c r="J11" s="190">
        <v>285.884018755569</v>
      </c>
    </row>
    <row r="12" spans="2:33" x14ac:dyDescent="0.25">
      <c r="B12" s="191"/>
      <c r="C12" s="187" t="s">
        <v>3</v>
      </c>
      <c r="D12" s="53">
        <f t="shared" si="0"/>
        <v>35058.098204752896</v>
      </c>
      <c r="E12" s="53">
        <v>5532.3696897254849</v>
      </c>
      <c r="F12" s="53">
        <v>6067.3342932928208</v>
      </c>
      <c r="G12" s="53">
        <v>13253.436325881692</v>
      </c>
      <c r="H12" s="53">
        <v>7012.8297039640493</v>
      </c>
      <c r="I12" s="53">
        <v>2993.2497746319141</v>
      </c>
      <c r="J12" s="190">
        <v>198.87841725693684</v>
      </c>
    </row>
    <row r="13" spans="2:33" x14ac:dyDescent="0.25">
      <c r="B13" s="191"/>
      <c r="C13" s="187" t="s">
        <v>122</v>
      </c>
      <c r="D13" s="53">
        <f t="shared" si="0"/>
        <v>62.993570102238998</v>
      </c>
      <c r="E13" s="53">
        <v>27.335001035175139</v>
      </c>
      <c r="F13" s="53">
        <v>0</v>
      </c>
      <c r="G13" s="53">
        <v>2.09570479800704</v>
      </c>
      <c r="H13" s="53">
        <v>1.04785239900352</v>
      </c>
      <c r="I13" s="53">
        <v>2.0892490110998203</v>
      </c>
      <c r="J13" s="190">
        <v>30.425762858953476</v>
      </c>
    </row>
    <row r="14" spans="2:33" x14ac:dyDescent="0.25">
      <c r="B14" s="187"/>
      <c r="C14" s="187"/>
      <c r="D14" s="53"/>
      <c r="E14" s="53"/>
      <c r="F14" s="53"/>
      <c r="G14" s="53"/>
      <c r="H14" s="53"/>
      <c r="I14" s="53"/>
      <c r="J14" s="190"/>
    </row>
    <row r="15" spans="2:33" x14ac:dyDescent="0.25">
      <c r="B15" s="187" t="s">
        <v>48</v>
      </c>
      <c r="C15" s="187" t="s">
        <v>1</v>
      </c>
      <c r="D15" s="53">
        <f>SUM(E15:J15)</f>
        <v>68847.916762526424</v>
      </c>
      <c r="E15" s="53">
        <v>10972.261734335812</v>
      </c>
      <c r="F15" s="53">
        <v>11910.80771885377</v>
      </c>
      <c r="G15" s="53">
        <v>26595.234912327749</v>
      </c>
      <c r="H15" s="53">
        <v>13603.669913100324</v>
      </c>
      <c r="I15" s="53">
        <v>5262.6310264949889</v>
      </c>
      <c r="J15" s="53">
        <v>503.31145741377054</v>
      </c>
    </row>
    <row r="16" spans="2:33" x14ac:dyDescent="0.25">
      <c r="B16" s="187"/>
      <c r="C16" s="187" t="s">
        <v>2</v>
      </c>
      <c r="D16" s="53">
        <f t="shared" ref="D16:D18" si="1">SUM(E16:J16)</f>
        <v>34885.086064459647</v>
      </c>
      <c r="E16" s="53">
        <v>5584.2999039967717</v>
      </c>
      <c r="F16" s="53">
        <v>6008.008165449929</v>
      </c>
      <c r="G16" s="53">
        <v>13695.804630599599</v>
      </c>
      <c r="H16" s="53">
        <v>6860.6977553358165</v>
      </c>
      <c r="I16" s="53">
        <v>2455.7901091663657</v>
      </c>
      <c r="J16" s="53">
        <v>280.4854999111634</v>
      </c>
    </row>
    <row r="17" spans="1:33" x14ac:dyDescent="0.25">
      <c r="B17" s="187"/>
      <c r="C17" s="187" t="s">
        <v>3</v>
      </c>
      <c r="D17" s="53">
        <f t="shared" si="1"/>
        <v>33901.99653550388</v>
      </c>
      <c r="E17" s="53">
        <v>5362.7862368412725</v>
      </c>
      <c r="F17" s="53">
        <v>5902.799553403629</v>
      </c>
      <c r="G17" s="53">
        <v>12897.334576932129</v>
      </c>
      <c r="H17" s="53">
        <v>6741.9243053654918</v>
      </c>
      <c r="I17" s="53">
        <v>2804.7516683177059</v>
      </c>
      <c r="J17" s="53">
        <v>192.40019464365011</v>
      </c>
    </row>
    <row r="18" spans="1:33" x14ac:dyDescent="0.25">
      <c r="B18" s="187"/>
      <c r="C18" s="187" t="s">
        <v>122</v>
      </c>
      <c r="D18" s="53">
        <f t="shared" si="1"/>
        <v>60.834162564476756</v>
      </c>
      <c r="E18" s="53">
        <v>25.175593497412898</v>
      </c>
      <c r="F18" s="53">
        <v>0</v>
      </c>
      <c r="G18" s="53">
        <v>2.09570479800704</v>
      </c>
      <c r="H18" s="53">
        <v>1.04785239900352</v>
      </c>
      <c r="I18" s="53">
        <v>2.0892490110998203</v>
      </c>
      <c r="J18" s="53">
        <v>30.425762858953476</v>
      </c>
    </row>
    <row r="19" spans="1:33" x14ac:dyDescent="0.25">
      <c r="B19" s="187"/>
      <c r="C19" s="187"/>
      <c r="D19" s="53"/>
      <c r="E19" s="53"/>
      <c r="F19" s="53"/>
      <c r="G19" s="53"/>
      <c r="H19" s="53"/>
      <c r="I19" s="53"/>
      <c r="J19" s="190"/>
    </row>
    <row r="20" spans="1:33" x14ac:dyDescent="0.25">
      <c r="B20" s="187" t="s">
        <v>11</v>
      </c>
      <c r="C20" s="187" t="s">
        <v>1</v>
      </c>
      <c r="D20" s="53">
        <f>SUM(E20:J20)</f>
        <v>2256.8377041132921</v>
      </c>
      <c r="E20" s="53">
        <v>342.40601707506863</v>
      </c>
      <c r="F20" s="53">
        <v>340.07640097682554</v>
      </c>
      <c r="G20" s="53">
        <v>696.25749982468994</v>
      </c>
      <c r="H20" s="53">
        <v>526.80458055180736</v>
      </c>
      <c r="I20" s="53">
        <v>339.41646422720839</v>
      </c>
      <c r="J20" s="190">
        <v>11.876741457692322</v>
      </c>
    </row>
    <row r="21" spans="1:33" x14ac:dyDescent="0.25">
      <c r="B21" s="187"/>
      <c r="C21" s="187" t="s">
        <v>2</v>
      </c>
      <c r="D21" s="53">
        <f t="shared" ref="D21:D23" si="2">SUM(E21:J21)</f>
        <v>1098.5766273265074</v>
      </c>
      <c r="E21" s="53">
        <v>170.66315665309378</v>
      </c>
      <c r="F21" s="53">
        <v>175.54166108763394</v>
      </c>
      <c r="G21" s="53">
        <v>340.15575087512616</v>
      </c>
      <c r="H21" s="53">
        <v>255.89918195324867</v>
      </c>
      <c r="I21" s="53">
        <v>150.91835791299926</v>
      </c>
      <c r="J21" s="190">
        <v>5.3985188444055998</v>
      </c>
    </row>
    <row r="22" spans="1:33" s="65" customFormat="1" x14ac:dyDescent="0.25">
      <c r="A22" s="46"/>
      <c r="B22" s="187"/>
      <c r="C22" s="187" t="s">
        <v>3</v>
      </c>
      <c r="D22" s="53">
        <f t="shared" si="2"/>
        <v>1156.101669249018</v>
      </c>
      <c r="E22" s="53">
        <v>169.58345288421268</v>
      </c>
      <c r="F22" s="53">
        <v>164.53473988919188</v>
      </c>
      <c r="G22" s="53">
        <v>356.1017489495618</v>
      </c>
      <c r="H22" s="53">
        <v>270.90539859855704</v>
      </c>
      <c r="I22" s="53">
        <v>188.49810631420794</v>
      </c>
      <c r="J22" s="190">
        <v>6.4782226132867198</v>
      </c>
      <c r="K22" s="46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12.75" customHeight="1" x14ac:dyDescent="0.25">
      <c r="B23" s="187"/>
      <c r="C23" s="187" t="s">
        <v>122</v>
      </c>
      <c r="D23" s="53">
        <f t="shared" si="2"/>
        <v>2.1594075377622399</v>
      </c>
      <c r="E23" s="53">
        <v>2.1594075377622399</v>
      </c>
      <c r="F23" s="53">
        <v>0</v>
      </c>
      <c r="G23" s="53">
        <v>0</v>
      </c>
      <c r="H23" s="53">
        <v>0</v>
      </c>
      <c r="I23" s="53">
        <v>0</v>
      </c>
      <c r="J23" s="190">
        <v>0</v>
      </c>
    </row>
    <row r="24" spans="1:33" x14ac:dyDescent="0.25">
      <c r="B24" s="192"/>
      <c r="C24" s="192"/>
      <c r="D24" s="68"/>
      <c r="E24" s="68"/>
      <c r="F24" s="68"/>
      <c r="G24" s="68"/>
      <c r="H24" s="68"/>
      <c r="I24" s="68"/>
      <c r="J24" s="193"/>
    </row>
    <row r="25" spans="1:33" x14ac:dyDescent="0.25">
      <c r="A25" s="65"/>
      <c r="B25" s="395" t="s">
        <v>95</v>
      </c>
      <c r="C25" s="187"/>
      <c r="D25" s="188" t="s">
        <v>1</v>
      </c>
      <c r="E25" s="188" t="s">
        <v>92</v>
      </c>
      <c r="F25" s="188" t="s">
        <v>91</v>
      </c>
      <c r="G25" s="188" t="s">
        <v>93</v>
      </c>
      <c r="H25" s="188" t="s">
        <v>94</v>
      </c>
      <c r="I25" s="188" t="s">
        <v>20</v>
      </c>
      <c r="J25" s="189" t="s">
        <v>68</v>
      </c>
      <c r="K25" s="65"/>
    </row>
    <row r="26" spans="1:33" x14ac:dyDescent="0.25">
      <c r="A26" s="65"/>
      <c r="B26" s="395"/>
      <c r="C26" s="187"/>
      <c r="D26" s="188"/>
      <c r="E26" s="188"/>
      <c r="F26" s="188"/>
      <c r="G26" s="188"/>
      <c r="H26" s="188"/>
      <c r="I26" s="188"/>
      <c r="J26" s="189"/>
      <c r="K26" s="65"/>
    </row>
    <row r="27" spans="1:33" ht="18" customHeight="1" x14ac:dyDescent="0.25">
      <c r="B27" s="395"/>
      <c r="C27" s="187" t="s">
        <v>1</v>
      </c>
      <c r="D27" s="53">
        <v>55036.000008240386</v>
      </c>
      <c r="E27" s="53">
        <v>9968.270479258108</v>
      </c>
      <c r="F27" s="53">
        <v>10747.384560114991</v>
      </c>
      <c r="G27" s="53">
        <v>23166.735416128151</v>
      </c>
      <c r="H27" s="53">
        <v>8168.2758194771459</v>
      </c>
      <c r="I27" s="53">
        <v>2985.3337332619858</v>
      </c>
      <c r="J27" s="190">
        <v>0</v>
      </c>
    </row>
    <row r="28" spans="1:33" x14ac:dyDescent="0.25">
      <c r="B28" s="191"/>
      <c r="C28" s="187" t="s">
        <v>2</v>
      </c>
      <c r="D28" s="53">
        <v>27218.128474082638</v>
      </c>
      <c r="E28" s="53">
        <v>5078.0141259760439</v>
      </c>
      <c r="F28" s="53">
        <v>5240.6282600100021</v>
      </c>
      <c r="G28" s="53">
        <v>11579.925894966525</v>
      </c>
      <c r="H28" s="53">
        <v>3947.0552718470726</v>
      </c>
      <c r="I28" s="53">
        <v>1372.5049212829933</v>
      </c>
      <c r="J28" s="190">
        <v>0</v>
      </c>
    </row>
    <row r="29" spans="1:33" x14ac:dyDescent="0.25">
      <c r="B29" s="191"/>
      <c r="C29" s="187" t="s">
        <v>3</v>
      </c>
      <c r="D29" s="53">
        <v>27817.871534157748</v>
      </c>
      <c r="E29" s="53">
        <v>4890.2563532820641</v>
      </c>
      <c r="F29" s="53">
        <v>5506.7563001049884</v>
      </c>
      <c r="G29" s="53">
        <v>11586.809521161626</v>
      </c>
      <c r="H29" s="53">
        <v>4221.2205476300733</v>
      </c>
      <c r="I29" s="53">
        <v>1612.8288119789922</v>
      </c>
      <c r="J29" s="190">
        <v>0</v>
      </c>
    </row>
    <row r="30" spans="1:33" x14ac:dyDescent="0.25">
      <c r="B30" s="187"/>
      <c r="C30" s="187"/>
      <c r="D30" s="53"/>
      <c r="E30" s="53"/>
      <c r="F30" s="53"/>
      <c r="G30" s="53"/>
      <c r="H30" s="53"/>
      <c r="I30" s="53"/>
      <c r="J30" s="190"/>
    </row>
    <row r="31" spans="1:33" x14ac:dyDescent="0.25">
      <c r="B31" s="187" t="s">
        <v>48</v>
      </c>
      <c r="C31" s="187" t="s">
        <v>1</v>
      </c>
      <c r="D31" s="53">
        <v>52740.000007200382</v>
      </c>
      <c r="E31" s="53">
        <v>9625.9023375101078</v>
      </c>
      <c r="F31" s="53">
        <v>10315.61464841499</v>
      </c>
      <c r="G31" s="53">
        <v>22356.02391133616</v>
      </c>
      <c r="H31" s="53">
        <v>7754.7926334491449</v>
      </c>
      <c r="I31" s="53">
        <v>2687.6664764899851</v>
      </c>
      <c r="J31" s="190">
        <v>0</v>
      </c>
    </row>
    <row r="32" spans="1:33" x14ac:dyDescent="0.25">
      <c r="B32" s="187"/>
      <c r="C32" s="187" t="s">
        <v>2</v>
      </c>
      <c r="D32" s="53">
        <v>26107.71785411064</v>
      </c>
      <c r="E32" s="53">
        <v>4908.353948908044</v>
      </c>
      <c r="F32" s="53">
        <v>5013.0601183140016</v>
      </c>
      <c r="G32" s="53">
        <v>11178.633859386529</v>
      </c>
      <c r="H32" s="53">
        <v>3757.0765106990721</v>
      </c>
      <c r="I32" s="53">
        <v>1250.593416802993</v>
      </c>
      <c r="J32" s="190">
        <v>0</v>
      </c>
    </row>
    <row r="33" spans="1:33" x14ac:dyDescent="0.25">
      <c r="B33" s="187"/>
      <c r="C33" s="187" t="s">
        <v>3</v>
      </c>
      <c r="D33" s="53">
        <v>26632.282153089745</v>
      </c>
      <c r="E33" s="53">
        <v>4717.5483886020638</v>
      </c>
      <c r="F33" s="53">
        <v>5302.5545301009879</v>
      </c>
      <c r="G33" s="53">
        <v>11177.390051949629</v>
      </c>
      <c r="H33" s="53">
        <v>3997.7161227500728</v>
      </c>
      <c r="I33" s="53">
        <v>1437.0730596869919</v>
      </c>
      <c r="J33" s="190">
        <v>0</v>
      </c>
    </row>
    <row r="34" spans="1:33" x14ac:dyDescent="0.25">
      <c r="B34" s="187"/>
      <c r="C34" s="187"/>
      <c r="D34" s="53"/>
      <c r="E34" s="53"/>
      <c r="F34" s="53"/>
      <c r="G34" s="53"/>
      <c r="H34" s="53"/>
      <c r="I34" s="53"/>
      <c r="J34" s="190"/>
    </row>
    <row r="35" spans="1:33" x14ac:dyDescent="0.25">
      <c r="B35" s="187" t="s">
        <v>11</v>
      </c>
      <c r="C35" s="187" t="s">
        <v>1</v>
      </c>
      <c r="D35" s="53">
        <v>2296.0000010399963</v>
      </c>
      <c r="E35" s="53">
        <v>342.36814174800065</v>
      </c>
      <c r="F35" s="53">
        <v>431.76991170000088</v>
      </c>
      <c r="G35" s="53">
        <v>810.71150479199343</v>
      </c>
      <c r="H35" s="53">
        <v>413.48318602800077</v>
      </c>
      <c r="I35" s="53">
        <v>297.66725677200054</v>
      </c>
      <c r="J35" s="190">
        <v>0</v>
      </c>
    </row>
    <row r="36" spans="1:33" s="65" customFormat="1" x14ac:dyDescent="0.25">
      <c r="A36" s="46"/>
      <c r="B36" s="187"/>
      <c r="C36" s="187" t="s">
        <v>2</v>
      </c>
      <c r="D36" s="53">
        <v>1110.4106199719981</v>
      </c>
      <c r="E36" s="53">
        <v>169.66017706800031</v>
      </c>
      <c r="F36" s="53">
        <v>227.56814169600045</v>
      </c>
      <c r="G36" s="53">
        <v>401.29203557999682</v>
      </c>
      <c r="H36" s="53">
        <v>189.97876114800036</v>
      </c>
      <c r="I36" s="53">
        <v>121.9115044800002</v>
      </c>
      <c r="J36" s="190">
        <v>0</v>
      </c>
      <c r="K36" s="46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</row>
    <row r="37" spans="1:33" x14ac:dyDescent="0.25">
      <c r="B37" s="192"/>
      <c r="C37" s="192" t="s">
        <v>3</v>
      </c>
      <c r="D37" s="125">
        <v>1185.5893810679981</v>
      </c>
      <c r="E37" s="125">
        <v>172.70796468000032</v>
      </c>
      <c r="F37" s="125">
        <v>204.20177000400039</v>
      </c>
      <c r="G37" s="125">
        <v>409.41946921199661</v>
      </c>
      <c r="H37" s="125">
        <v>223.50442488000044</v>
      </c>
      <c r="I37" s="125">
        <v>175.75575229200032</v>
      </c>
      <c r="J37" s="194">
        <v>0</v>
      </c>
    </row>
    <row r="38" spans="1:33" x14ac:dyDescent="0.25">
      <c r="B38" s="187"/>
      <c r="C38" s="187"/>
      <c r="D38" s="59"/>
      <c r="E38" s="59"/>
      <c r="F38" s="59"/>
      <c r="G38" s="59"/>
      <c r="H38" s="59"/>
      <c r="I38" s="59"/>
      <c r="J38" s="195"/>
    </row>
    <row r="39" spans="1:33" ht="24" customHeight="1" x14ac:dyDescent="0.25">
      <c r="A39" s="65"/>
      <c r="B39" s="117">
        <v>1999</v>
      </c>
      <c r="C39" s="187"/>
      <c r="D39" s="188" t="s">
        <v>1</v>
      </c>
      <c r="E39" s="188" t="s">
        <v>92</v>
      </c>
      <c r="F39" s="188" t="s">
        <v>91</v>
      </c>
      <c r="G39" s="188" t="s">
        <v>93</v>
      </c>
      <c r="H39" s="188" t="s">
        <v>94</v>
      </c>
      <c r="I39" s="188" t="s">
        <v>20</v>
      </c>
      <c r="J39" s="189" t="s">
        <v>68</v>
      </c>
      <c r="K39" s="65"/>
    </row>
    <row r="40" spans="1:33" x14ac:dyDescent="0.25">
      <c r="A40" s="65"/>
      <c r="B40" s="196" t="s">
        <v>21</v>
      </c>
      <c r="C40" s="187"/>
      <c r="D40" s="188"/>
      <c r="E40" s="188"/>
      <c r="F40" s="188"/>
      <c r="G40" s="188"/>
      <c r="H40" s="188"/>
      <c r="I40" s="188"/>
      <c r="J40" s="189"/>
      <c r="K40" s="65"/>
    </row>
    <row r="41" spans="1:33" x14ac:dyDescent="0.25">
      <c r="C41" s="187" t="s">
        <v>1</v>
      </c>
      <c r="D41" s="53">
        <v>39020</v>
      </c>
      <c r="E41" s="53">
        <v>7598</v>
      </c>
      <c r="F41" s="53">
        <v>8706</v>
      </c>
      <c r="G41" s="53">
        <v>15966</v>
      </c>
      <c r="H41" s="53">
        <v>4486</v>
      </c>
      <c r="I41" s="53">
        <v>2195</v>
      </c>
      <c r="J41" s="190">
        <v>69</v>
      </c>
    </row>
    <row r="42" spans="1:33" x14ac:dyDescent="0.25">
      <c r="B42" s="187"/>
      <c r="C42" s="187" t="s">
        <v>2</v>
      </c>
      <c r="D42" s="53">
        <v>19033</v>
      </c>
      <c r="E42" s="53">
        <v>3830</v>
      </c>
      <c r="F42" s="53">
        <v>4218</v>
      </c>
      <c r="G42" s="53">
        <v>7703</v>
      </c>
      <c r="H42" s="53">
        <v>2268</v>
      </c>
      <c r="I42" s="53">
        <v>980</v>
      </c>
      <c r="J42" s="190">
        <v>34</v>
      </c>
    </row>
    <row r="43" spans="1:33" x14ac:dyDescent="0.25">
      <c r="B43" s="187"/>
      <c r="C43" s="187" t="s">
        <v>3</v>
      </c>
      <c r="D43" s="53">
        <v>19987</v>
      </c>
      <c r="E43" s="53">
        <v>3768</v>
      </c>
      <c r="F43" s="53">
        <v>4488</v>
      </c>
      <c r="G43" s="53">
        <v>8263</v>
      </c>
      <c r="H43" s="53">
        <v>2218</v>
      </c>
      <c r="I43" s="53">
        <v>1215</v>
      </c>
      <c r="J43" s="190">
        <v>35</v>
      </c>
    </row>
    <row r="44" spans="1:33" x14ac:dyDescent="0.25">
      <c r="B44" s="187"/>
      <c r="C44" s="187"/>
      <c r="D44" s="53"/>
      <c r="E44" s="53"/>
      <c r="F44" s="53"/>
      <c r="G44" s="53"/>
      <c r="H44" s="53"/>
      <c r="I44" s="53"/>
      <c r="J44" s="190"/>
    </row>
    <row r="45" spans="1:33" x14ac:dyDescent="0.25">
      <c r="B45" s="187" t="s">
        <v>48</v>
      </c>
      <c r="C45" s="187" t="s">
        <v>1</v>
      </c>
      <c r="D45" s="53">
        <v>37083</v>
      </c>
      <c r="E45" s="53">
        <v>7243</v>
      </c>
      <c r="F45" s="53">
        <v>8369</v>
      </c>
      <c r="G45" s="53">
        <v>15279</v>
      </c>
      <c r="H45" s="53">
        <v>4209</v>
      </c>
      <c r="I45" s="53">
        <v>1914</v>
      </c>
      <c r="J45" s="190">
        <v>69</v>
      </c>
    </row>
    <row r="46" spans="1:33" x14ac:dyDescent="0.25">
      <c r="B46" s="187"/>
      <c r="C46" s="187" t="s">
        <v>2</v>
      </c>
      <c r="D46" s="53">
        <v>18091</v>
      </c>
      <c r="E46" s="53">
        <v>3654</v>
      </c>
      <c r="F46" s="53">
        <v>4034</v>
      </c>
      <c r="G46" s="53">
        <v>7394</v>
      </c>
      <c r="H46" s="53">
        <v>2134</v>
      </c>
      <c r="I46" s="53">
        <v>841</v>
      </c>
      <c r="J46" s="190">
        <v>34</v>
      </c>
    </row>
    <row r="47" spans="1:33" x14ac:dyDescent="0.25">
      <c r="B47" s="187"/>
      <c r="C47" s="187" t="s">
        <v>3</v>
      </c>
      <c r="D47" s="53">
        <v>18992</v>
      </c>
      <c r="E47" s="53">
        <v>3589</v>
      </c>
      <c r="F47" s="53">
        <v>4335</v>
      </c>
      <c r="G47" s="53">
        <v>7885</v>
      </c>
      <c r="H47" s="53">
        <v>2075</v>
      </c>
      <c r="I47" s="53">
        <v>1073</v>
      </c>
      <c r="J47" s="190">
        <v>35</v>
      </c>
    </row>
    <row r="48" spans="1:33" x14ac:dyDescent="0.25">
      <c r="B48" s="187"/>
      <c r="C48" s="187"/>
      <c r="D48" s="53"/>
      <c r="E48" s="53"/>
      <c r="F48" s="53"/>
      <c r="G48" s="53"/>
      <c r="H48" s="53"/>
      <c r="I48" s="53"/>
      <c r="J48" s="190"/>
    </row>
    <row r="49" spans="1:33" x14ac:dyDescent="0.25">
      <c r="B49" s="187" t="s">
        <v>11</v>
      </c>
      <c r="C49" s="187" t="s">
        <v>1</v>
      </c>
      <c r="D49" s="53">
        <v>1937</v>
      </c>
      <c r="E49" s="53">
        <v>355</v>
      </c>
      <c r="F49" s="53">
        <v>337</v>
      </c>
      <c r="G49" s="53">
        <v>687</v>
      </c>
      <c r="H49" s="53">
        <v>277</v>
      </c>
      <c r="I49" s="53">
        <v>281</v>
      </c>
      <c r="J49" s="190">
        <v>0</v>
      </c>
    </row>
    <row r="50" spans="1:33" s="65" customFormat="1" x14ac:dyDescent="0.25">
      <c r="A50" s="46"/>
      <c r="B50" s="187"/>
      <c r="C50" s="187" t="s">
        <v>2</v>
      </c>
      <c r="D50" s="53">
        <v>942</v>
      </c>
      <c r="E50" s="53">
        <v>176</v>
      </c>
      <c r="F50" s="53">
        <v>184</v>
      </c>
      <c r="G50" s="53">
        <v>309</v>
      </c>
      <c r="H50" s="53">
        <v>134</v>
      </c>
      <c r="I50" s="53">
        <v>139</v>
      </c>
      <c r="J50" s="190">
        <v>0</v>
      </c>
      <c r="K50" s="46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</row>
    <row r="51" spans="1:33" x14ac:dyDescent="0.25">
      <c r="B51" s="192"/>
      <c r="C51" s="192" t="s">
        <v>3</v>
      </c>
      <c r="D51" s="125">
        <v>995</v>
      </c>
      <c r="E51" s="125">
        <v>179</v>
      </c>
      <c r="F51" s="125">
        <v>153</v>
      </c>
      <c r="G51" s="125">
        <v>378</v>
      </c>
      <c r="H51" s="125">
        <v>143</v>
      </c>
      <c r="I51" s="125">
        <v>142</v>
      </c>
      <c r="J51" s="194">
        <v>0</v>
      </c>
    </row>
    <row r="52" spans="1:33" x14ac:dyDescent="0.25">
      <c r="B52" s="187"/>
      <c r="C52" s="187"/>
      <c r="D52" s="59"/>
      <c r="E52" s="59"/>
      <c r="F52" s="59"/>
      <c r="G52" s="59"/>
      <c r="H52" s="59"/>
      <c r="I52" s="59"/>
      <c r="J52" s="195"/>
    </row>
    <row r="53" spans="1:33" x14ac:dyDescent="0.25">
      <c r="A53" s="65"/>
      <c r="B53" s="169">
        <v>1989</v>
      </c>
      <c r="C53" s="187"/>
      <c r="D53" s="188" t="s">
        <v>1</v>
      </c>
      <c r="E53" s="188" t="s">
        <v>92</v>
      </c>
      <c r="F53" s="188" t="s">
        <v>91</v>
      </c>
      <c r="G53" s="188" t="s">
        <v>93</v>
      </c>
      <c r="H53" s="188" t="s">
        <v>94</v>
      </c>
      <c r="I53" s="188" t="s">
        <v>20</v>
      </c>
      <c r="J53" s="189" t="s">
        <v>68</v>
      </c>
      <c r="K53" s="65"/>
    </row>
    <row r="54" spans="1:33" x14ac:dyDescent="0.25">
      <c r="A54" s="65"/>
      <c r="B54" s="196" t="s">
        <v>21</v>
      </c>
      <c r="C54" s="187"/>
      <c r="D54" s="188"/>
      <c r="E54" s="188"/>
      <c r="F54" s="188"/>
      <c r="G54" s="188"/>
      <c r="H54" s="188"/>
      <c r="I54" s="188"/>
      <c r="J54" s="189"/>
      <c r="K54" s="65"/>
    </row>
    <row r="55" spans="1:33" x14ac:dyDescent="0.25">
      <c r="B55" s="196"/>
      <c r="C55" s="187" t="s">
        <v>1</v>
      </c>
      <c r="D55" s="53">
        <v>25355</v>
      </c>
      <c r="E55" s="53">
        <v>5758</v>
      </c>
      <c r="F55" s="53">
        <v>7194</v>
      </c>
      <c r="G55" s="53">
        <v>8112</v>
      </c>
      <c r="H55" s="53">
        <v>2690</v>
      </c>
      <c r="I55" s="53">
        <v>1601</v>
      </c>
      <c r="J55" s="190">
        <v>0</v>
      </c>
    </row>
    <row r="56" spans="1:33" x14ac:dyDescent="0.25">
      <c r="B56" s="187"/>
      <c r="C56" s="187" t="s">
        <v>2</v>
      </c>
      <c r="D56" s="53">
        <v>12372</v>
      </c>
      <c r="E56" s="53">
        <v>2900</v>
      </c>
      <c r="F56" s="53">
        <v>3528</v>
      </c>
      <c r="G56" s="53">
        <v>3934</v>
      </c>
      <c r="H56" s="53">
        <v>1344</v>
      </c>
      <c r="I56" s="53">
        <v>666</v>
      </c>
      <c r="J56" s="190">
        <v>0</v>
      </c>
    </row>
    <row r="57" spans="1:33" x14ac:dyDescent="0.25">
      <c r="B57" s="187"/>
      <c r="C57" s="187" t="s">
        <v>3</v>
      </c>
      <c r="D57" s="53">
        <v>12983</v>
      </c>
      <c r="E57" s="53">
        <v>2858</v>
      </c>
      <c r="F57" s="53">
        <v>3666</v>
      </c>
      <c r="G57" s="53">
        <v>4178</v>
      </c>
      <c r="H57" s="53">
        <v>1346</v>
      </c>
      <c r="I57" s="53">
        <v>935</v>
      </c>
      <c r="J57" s="190">
        <v>0</v>
      </c>
    </row>
    <row r="58" spans="1:33" x14ac:dyDescent="0.25">
      <c r="B58" s="187"/>
      <c r="C58" s="187"/>
      <c r="D58" s="53"/>
      <c r="E58" s="53"/>
      <c r="F58" s="53"/>
      <c r="G58" s="53"/>
      <c r="H58" s="53"/>
      <c r="I58" s="53"/>
      <c r="J58" s="190"/>
    </row>
    <row r="59" spans="1:33" x14ac:dyDescent="0.25">
      <c r="B59" s="187" t="s">
        <v>48</v>
      </c>
      <c r="C59" s="187" t="s">
        <v>1</v>
      </c>
      <c r="D59" s="53">
        <v>23881</v>
      </c>
      <c r="E59" s="53">
        <v>5430</v>
      </c>
      <c r="F59" s="53">
        <v>6873</v>
      </c>
      <c r="G59" s="53">
        <v>7735</v>
      </c>
      <c r="H59" s="53">
        <v>2445</v>
      </c>
      <c r="I59" s="53">
        <v>1398</v>
      </c>
      <c r="J59" s="190">
        <v>0</v>
      </c>
    </row>
    <row r="60" spans="1:33" x14ac:dyDescent="0.25">
      <c r="B60" s="187"/>
      <c r="C60" s="187" t="s">
        <v>2</v>
      </c>
      <c r="D60" s="53">
        <v>11654</v>
      </c>
      <c r="E60" s="53">
        <v>2732</v>
      </c>
      <c r="F60" s="53">
        <v>3373</v>
      </c>
      <c r="G60" s="53">
        <v>3762</v>
      </c>
      <c r="H60" s="53">
        <v>1216</v>
      </c>
      <c r="I60" s="53">
        <v>571</v>
      </c>
      <c r="J60" s="190">
        <v>0</v>
      </c>
    </row>
    <row r="61" spans="1:33" x14ac:dyDescent="0.25">
      <c r="B61" s="187"/>
      <c r="C61" s="187" t="s">
        <v>3</v>
      </c>
      <c r="D61" s="53">
        <v>12227</v>
      </c>
      <c r="E61" s="53">
        <v>2698</v>
      </c>
      <c r="F61" s="53">
        <v>3500</v>
      </c>
      <c r="G61" s="53">
        <v>3973</v>
      </c>
      <c r="H61" s="53">
        <v>1229</v>
      </c>
      <c r="I61" s="53">
        <v>827</v>
      </c>
      <c r="J61" s="190">
        <v>0</v>
      </c>
    </row>
    <row r="62" spans="1:33" x14ac:dyDescent="0.25">
      <c r="B62" s="187"/>
      <c r="C62" s="187"/>
      <c r="D62" s="53"/>
      <c r="E62" s="53"/>
      <c r="F62" s="53"/>
      <c r="G62" s="53"/>
      <c r="H62" s="53"/>
      <c r="I62" s="53"/>
      <c r="J62" s="190"/>
    </row>
    <row r="63" spans="1:33" x14ac:dyDescent="0.25">
      <c r="B63" s="187" t="s">
        <v>11</v>
      </c>
      <c r="C63" s="187" t="s">
        <v>1</v>
      </c>
      <c r="D63" s="53">
        <v>1474</v>
      </c>
      <c r="E63" s="53">
        <v>328</v>
      </c>
      <c r="F63" s="53">
        <v>321</v>
      </c>
      <c r="G63" s="53">
        <v>377</v>
      </c>
      <c r="H63" s="53">
        <v>245</v>
      </c>
      <c r="I63" s="53">
        <v>203</v>
      </c>
      <c r="J63" s="190">
        <v>0</v>
      </c>
    </row>
    <row r="64" spans="1:33" x14ac:dyDescent="0.25">
      <c r="B64" s="187"/>
      <c r="C64" s="187" t="s">
        <v>2</v>
      </c>
      <c r="D64" s="53">
        <v>718</v>
      </c>
      <c r="E64" s="53">
        <v>168</v>
      </c>
      <c r="F64" s="53">
        <v>155</v>
      </c>
      <c r="G64" s="53">
        <v>172</v>
      </c>
      <c r="H64" s="53">
        <v>128</v>
      </c>
      <c r="I64" s="53">
        <v>95</v>
      </c>
      <c r="J64" s="190">
        <v>0</v>
      </c>
    </row>
    <row r="65" spans="2:10" x14ac:dyDescent="0.25">
      <c r="B65" s="192"/>
      <c r="C65" s="192" t="s">
        <v>3</v>
      </c>
      <c r="D65" s="125">
        <v>756</v>
      </c>
      <c r="E65" s="125">
        <v>160</v>
      </c>
      <c r="F65" s="125">
        <v>166</v>
      </c>
      <c r="G65" s="125">
        <v>205</v>
      </c>
      <c r="H65" s="125">
        <v>117</v>
      </c>
      <c r="I65" s="125">
        <v>108</v>
      </c>
      <c r="J65" s="194">
        <v>0</v>
      </c>
    </row>
    <row r="67" spans="2:10" x14ac:dyDescent="0.25">
      <c r="B67" s="55" t="s">
        <v>38</v>
      </c>
    </row>
    <row r="69" spans="2:10" x14ac:dyDescent="0.25">
      <c r="B69" s="116"/>
      <c r="C69" s="116"/>
      <c r="D69" s="116"/>
      <c r="E69" s="116"/>
      <c r="F69" s="116"/>
      <c r="G69" s="116"/>
      <c r="H69" s="116"/>
      <c r="I69" s="116"/>
      <c r="J69" s="116"/>
    </row>
  </sheetData>
  <mergeCells count="3">
    <mergeCell ref="B25:B27"/>
    <mergeCell ref="C6:J6"/>
    <mergeCell ref="B9:B10"/>
  </mergeCells>
  <pageMargins left="0.7" right="0.7" top="0.75" bottom="0.75" header="0.3" footer="0.3"/>
  <pageSetup scale="67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 sizeWithCells="1">
              <from>
                <xdr:col>0</xdr:col>
                <xdr:colOff>85725</xdr:colOff>
                <xdr:row>0</xdr:row>
                <xdr:rowOff>47625</xdr:rowOff>
              </from>
              <to>
                <xdr:col>1</xdr:col>
                <xdr:colOff>485775</xdr:colOff>
                <xdr:row>3</xdr:row>
                <xdr:rowOff>66675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T45"/>
  <sheetViews>
    <sheetView workbookViewId="0">
      <selection activeCell="I2" sqref="I2"/>
    </sheetView>
  </sheetViews>
  <sheetFormatPr defaultRowHeight="12.75" x14ac:dyDescent="0.2"/>
  <cols>
    <col min="1" max="1" width="9.140625" style="46"/>
    <col min="2" max="2" width="10.5703125" style="46" customWidth="1"/>
    <col min="3" max="14" width="8.7109375" style="46" customWidth="1"/>
    <col min="15" max="16384" width="9.140625" style="46"/>
  </cols>
  <sheetData>
    <row r="2" spans="2:20" x14ac:dyDescent="0.2">
      <c r="I2" s="65" t="s">
        <v>314</v>
      </c>
    </row>
    <row r="3" spans="2:20" x14ac:dyDescent="0.2">
      <c r="L3" s="57"/>
      <c r="M3" s="44"/>
      <c r="Q3" s="57"/>
    </row>
    <row r="6" spans="2:20" ht="15" x14ac:dyDescent="0.25">
      <c r="R6" s="42"/>
      <c r="S6" s="42"/>
      <c r="T6" s="42"/>
    </row>
    <row r="7" spans="2:20" ht="15" x14ac:dyDescent="0.25">
      <c r="B7" s="58">
        <v>1.0900000000000001</v>
      </c>
      <c r="C7" s="378" t="s">
        <v>133</v>
      </c>
      <c r="D7" s="378"/>
      <c r="E7" s="378"/>
      <c r="F7" s="378"/>
      <c r="G7" s="378"/>
      <c r="H7" s="378"/>
      <c r="I7" s="378"/>
      <c r="J7" s="378"/>
      <c r="K7" s="378"/>
      <c r="L7" s="378"/>
      <c r="M7" s="47"/>
      <c r="N7" s="47"/>
      <c r="R7" s="42"/>
      <c r="S7" s="42"/>
      <c r="T7" s="42"/>
    </row>
    <row r="8" spans="2:20" ht="15" x14ac:dyDescent="0.25">
      <c r="B8" s="48"/>
      <c r="C8" s="68"/>
      <c r="D8" s="68"/>
      <c r="E8" s="68"/>
      <c r="F8" s="68"/>
      <c r="G8" s="77"/>
      <c r="H8" s="77"/>
      <c r="I8" s="68"/>
      <c r="J8" s="59"/>
      <c r="K8" s="59"/>
      <c r="L8" s="59"/>
      <c r="M8" s="59"/>
      <c r="N8" s="59"/>
      <c r="R8" s="42"/>
      <c r="S8" s="42"/>
      <c r="T8" s="42"/>
    </row>
    <row r="9" spans="2:20" ht="15" x14ac:dyDescent="0.25">
      <c r="B9" s="397" t="s">
        <v>51</v>
      </c>
      <c r="C9" s="399">
        <v>1970</v>
      </c>
      <c r="D9" s="400"/>
      <c r="E9" s="401">
        <v>1979</v>
      </c>
      <c r="F9" s="400"/>
      <c r="G9" s="401">
        <v>1989</v>
      </c>
      <c r="H9" s="400"/>
      <c r="I9" s="197">
        <v>1999</v>
      </c>
      <c r="J9" s="198"/>
      <c r="K9" s="402">
        <v>2010</v>
      </c>
      <c r="L9" s="403"/>
      <c r="M9" s="376">
        <v>2021</v>
      </c>
      <c r="N9" s="376"/>
      <c r="R9" s="42"/>
      <c r="S9" s="42"/>
      <c r="T9" s="42"/>
    </row>
    <row r="10" spans="2:20" s="116" customFormat="1" ht="15" x14ac:dyDescent="0.25">
      <c r="B10" s="398"/>
      <c r="C10" s="199" t="s">
        <v>4</v>
      </c>
      <c r="D10" s="200" t="s">
        <v>5</v>
      </c>
      <c r="E10" s="201" t="s">
        <v>4</v>
      </c>
      <c r="F10" s="200" t="s">
        <v>5</v>
      </c>
      <c r="G10" s="201" t="s">
        <v>4</v>
      </c>
      <c r="H10" s="200" t="s">
        <v>5</v>
      </c>
      <c r="I10" s="201" t="s">
        <v>4</v>
      </c>
      <c r="J10" s="200" t="s">
        <v>5</v>
      </c>
      <c r="K10" s="201" t="s">
        <v>4</v>
      </c>
      <c r="L10" s="200" t="s">
        <v>5</v>
      </c>
      <c r="M10" s="199" t="s">
        <v>4</v>
      </c>
      <c r="N10" s="199" t="s">
        <v>5</v>
      </c>
      <c r="R10" s="42"/>
      <c r="S10" s="42"/>
      <c r="T10" s="42"/>
    </row>
    <row r="11" spans="2:20" ht="15" x14ac:dyDescent="0.25">
      <c r="B11" s="141"/>
      <c r="C11" s="202"/>
      <c r="D11" s="203"/>
      <c r="E11" s="204"/>
      <c r="F11" s="203"/>
      <c r="G11" s="204"/>
      <c r="H11" s="203"/>
      <c r="I11" s="204"/>
      <c r="J11" s="203"/>
      <c r="K11" s="205"/>
      <c r="L11" s="206"/>
      <c r="R11" s="42"/>
      <c r="S11" s="42"/>
      <c r="T11" s="42"/>
    </row>
    <row r="12" spans="2:20" ht="15" x14ac:dyDescent="0.25">
      <c r="B12" s="141" t="s">
        <v>1</v>
      </c>
      <c r="C12" s="207">
        <f>SUM(C14:C35)</f>
        <v>10068</v>
      </c>
      <c r="D12" s="208">
        <f>C12/$C$12*100</f>
        <v>100</v>
      </c>
      <c r="E12" s="209">
        <f>SUM(E14:E35)</f>
        <v>16677</v>
      </c>
      <c r="F12" s="208">
        <f>E12/$E$12*100</f>
        <v>100</v>
      </c>
      <c r="G12" s="209">
        <f>SUM(G14:G35)</f>
        <v>25355</v>
      </c>
      <c r="H12" s="208">
        <f>G12/$G$12*100</f>
        <v>100</v>
      </c>
      <c r="I12" s="209">
        <f>SUM(I14:I35)</f>
        <v>39020</v>
      </c>
      <c r="J12" s="208">
        <f>I12/$I$12*100</f>
        <v>100</v>
      </c>
      <c r="K12" s="209">
        <v>55036</v>
      </c>
      <c r="L12" s="208">
        <f>K12/$K$12*100</f>
        <v>100</v>
      </c>
      <c r="M12" s="207">
        <f>SUM(M14:M35)</f>
        <v>71104.754466639715</v>
      </c>
      <c r="N12" s="210">
        <f>M12/$M$12*100</f>
        <v>100</v>
      </c>
      <c r="R12" s="42"/>
      <c r="S12" s="42"/>
      <c r="T12" s="42"/>
    </row>
    <row r="13" spans="2:20" ht="15" x14ac:dyDescent="0.25">
      <c r="B13" s="141"/>
      <c r="C13" s="202"/>
      <c r="D13" s="211"/>
      <c r="E13" s="204"/>
      <c r="F13" s="211"/>
      <c r="G13" s="204"/>
      <c r="H13" s="211"/>
      <c r="I13" s="204"/>
      <c r="J13" s="211"/>
      <c r="K13" s="212"/>
      <c r="L13" s="211"/>
      <c r="M13" s="213"/>
      <c r="N13" s="214"/>
      <c r="R13" s="42"/>
      <c r="S13" s="42"/>
      <c r="T13" s="42"/>
    </row>
    <row r="14" spans="2:20" ht="15" x14ac:dyDescent="0.25">
      <c r="B14" s="215" t="s">
        <v>81</v>
      </c>
      <c r="C14" s="78">
        <v>1383</v>
      </c>
      <c r="D14" s="211">
        <f>C14/$C$12*100</f>
        <v>13.736591179976163</v>
      </c>
      <c r="E14" s="216">
        <v>1468</v>
      </c>
      <c r="F14" s="211">
        <f>E14/$E$12*100</f>
        <v>8.8025424236973073</v>
      </c>
      <c r="G14" s="216">
        <v>2017</v>
      </c>
      <c r="H14" s="211">
        <f>G14/$G$12*100</f>
        <v>7.9550384539538559</v>
      </c>
      <c r="I14" s="216">
        <v>2740</v>
      </c>
      <c r="J14" s="211">
        <f>I14/$I$12*100</f>
        <v>7.0220399794976931</v>
      </c>
      <c r="K14" s="217">
        <v>3710</v>
      </c>
      <c r="L14" s="211">
        <f>K14/$K$12*100</f>
        <v>6.7410422269060257</v>
      </c>
      <c r="M14" s="218">
        <v>3683.4002163531718</v>
      </c>
      <c r="N14" s="214">
        <f>M14/$M$12*100</f>
        <v>5.1802446179338348</v>
      </c>
      <c r="R14" s="42"/>
      <c r="S14" s="42"/>
      <c r="T14" s="42"/>
    </row>
    <row r="15" spans="2:20" ht="15" x14ac:dyDescent="0.25">
      <c r="B15" s="215" t="s">
        <v>82</v>
      </c>
      <c r="C15" s="78">
        <v>1349</v>
      </c>
      <c r="D15" s="211">
        <f>C15/$C$12*100</f>
        <v>13.398887564560985</v>
      </c>
      <c r="E15" s="216">
        <v>1766</v>
      </c>
      <c r="F15" s="211">
        <f>E15/$E$12*100</f>
        <v>10.589434550578641</v>
      </c>
      <c r="G15" s="216">
        <v>1925</v>
      </c>
      <c r="H15" s="211">
        <f>G15/$G$12*100</f>
        <v>7.5921908893709329</v>
      </c>
      <c r="I15" s="216">
        <v>2713</v>
      </c>
      <c r="J15" s="211">
        <f>I15/$I$12*100</f>
        <v>6.9528446950281904</v>
      </c>
      <c r="K15" s="217">
        <v>3246</v>
      </c>
      <c r="L15" s="211">
        <f>K15/$K$12*100</f>
        <v>5.897957700414274</v>
      </c>
      <c r="M15" s="218">
        <v>3700.2601279852342</v>
      </c>
      <c r="N15" s="214">
        <f t="shared" ref="N15:N35" si="0">M15/$M$12*100</f>
        <v>5.2039559882332327</v>
      </c>
      <c r="R15" s="42"/>
      <c r="S15" s="42"/>
      <c r="T15" s="42"/>
    </row>
    <row r="16" spans="2:20" ht="15" x14ac:dyDescent="0.25">
      <c r="B16" s="215" t="s">
        <v>83</v>
      </c>
      <c r="C16" s="78">
        <v>1150</v>
      </c>
      <c r="D16" s="211">
        <f>C16/$C$12*100</f>
        <v>11.422328168454509</v>
      </c>
      <c r="E16" s="216">
        <v>1620</v>
      </c>
      <c r="F16" s="211">
        <f>E16/$E$12*100</f>
        <v>9.7139773340528865</v>
      </c>
      <c r="G16" s="216">
        <v>1816</v>
      </c>
      <c r="H16" s="211">
        <f>G16/$G$12*100</f>
        <v>7.1622954052455139</v>
      </c>
      <c r="I16" s="216">
        <v>2147</v>
      </c>
      <c r="J16" s="211">
        <f>I16/$I$12*100</f>
        <v>5.5023065094823167</v>
      </c>
      <c r="K16" s="217">
        <v>3012</v>
      </c>
      <c r="L16" s="211">
        <f>K16/$K$12*100</f>
        <v>5.472781452140417</v>
      </c>
      <c r="M16" s="218">
        <v>3931.0074070724754</v>
      </c>
      <c r="N16" s="214">
        <f t="shared" si="0"/>
        <v>5.5284733581588972</v>
      </c>
      <c r="R16" s="42"/>
      <c r="S16" s="42"/>
      <c r="T16" s="42"/>
    </row>
    <row r="17" spans="2:20" ht="15" x14ac:dyDescent="0.25">
      <c r="B17" s="215" t="s">
        <v>69</v>
      </c>
      <c r="C17" s="78">
        <v>959</v>
      </c>
      <c r="D17" s="211">
        <f>C17/$C$12*100</f>
        <v>9.5252284465633696</v>
      </c>
      <c r="E17" s="216">
        <v>1600</v>
      </c>
      <c r="F17" s="211">
        <f>E17/$E$12*100</f>
        <v>9.5940516879534687</v>
      </c>
      <c r="G17" s="216">
        <v>2053</v>
      </c>
      <c r="H17" s="211">
        <f>G17/$G$12*100</f>
        <v>8.0970222835732599</v>
      </c>
      <c r="I17" s="216">
        <v>1950</v>
      </c>
      <c r="J17" s="211">
        <f>I17/$I$12*100</f>
        <v>4.9974372116863144</v>
      </c>
      <c r="K17" s="217">
        <v>2823</v>
      </c>
      <c r="L17" s="211">
        <f>K17/$K$12*100</f>
        <v>5.1293698669961483</v>
      </c>
      <c r="M17" s="218">
        <v>3254.2908903437883</v>
      </c>
      <c r="N17" s="214">
        <f t="shared" si="0"/>
        <v>4.5767556821683524</v>
      </c>
      <c r="R17" s="42"/>
      <c r="S17" s="42"/>
      <c r="T17" s="42"/>
    </row>
    <row r="18" spans="2:20" ht="15" x14ac:dyDescent="0.25">
      <c r="B18" s="215" t="s">
        <v>71</v>
      </c>
      <c r="C18" s="78">
        <v>661</v>
      </c>
      <c r="D18" s="211">
        <f>C18/$C$12*100</f>
        <v>6.5653555820421134</v>
      </c>
      <c r="E18" s="216">
        <v>1533</v>
      </c>
      <c r="F18" s="211">
        <f>E18/$E$12*100</f>
        <v>9.192300773520417</v>
      </c>
      <c r="G18" s="216">
        <v>2274</v>
      </c>
      <c r="H18" s="211">
        <f>G18/$G$12*100</f>
        <v>8.9686452376257151</v>
      </c>
      <c r="I18" s="216">
        <v>2393</v>
      </c>
      <c r="J18" s="211">
        <f>I18/$I$12*100</f>
        <v>6.1327524346488982</v>
      </c>
      <c r="K18" s="217">
        <v>2934</v>
      </c>
      <c r="L18" s="211">
        <f>K18/$K$12*100</f>
        <v>5.3310560360491319</v>
      </c>
      <c r="M18" s="218">
        <v>3551.5132478512805</v>
      </c>
      <c r="N18" s="214">
        <f t="shared" si="0"/>
        <v>4.9947619881277383</v>
      </c>
      <c r="R18" s="42"/>
      <c r="S18" s="42"/>
      <c r="T18" s="42"/>
    </row>
    <row r="19" spans="2:20" ht="15" x14ac:dyDescent="0.25">
      <c r="B19" s="215"/>
      <c r="C19" s="78"/>
      <c r="D19" s="211"/>
      <c r="E19" s="216"/>
      <c r="F19" s="211"/>
      <c r="G19" s="216"/>
      <c r="H19" s="211"/>
      <c r="I19" s="216"/>
      <c r="J19" s="211"/>
      <c r="K19" s="217"/>
      <c r="L19" s="211"/>
      <c r="M19" s="218"/>
      <c r="N19" s="214"/>
      <c r="R19" s="42"/>
      <c r="S19" s="42"/>
      <c r="T19" s="42"/>
    </row>
    <row r="20" spans="2:20" ht="15" x14ac:dyDescent="0.25">
      <c r="B20" s="215" t="s">
        <v>72</v>
      </c>
      <c r="C20" s="78">
        <v>651</v>
      </c>
      <c r="D20" s="211">
        <f>C20/$C$12*100</f>
        <v>6.4660309892729444</v>
      </c>
      <c r="E20" s="216">
        <v>1449</v>
      </c>
      <c r="F20" s="211">
        <f>E20/$E$12*100</f>
        <v>8.6886130599028597</v>
      </c>
      <c r="G20" s="216">
        <v>2867</v>
      </c>
      <c r="H20" s="211">
        <f>G20/$G$12*100</f>
        <v>11.307434431078683</v>
      </c>
      <c r="I20" s="216">
        <v>4361</v>
      </c>
      <c r="J20" s="211">
        <f>I20/$I$12*100</f>
        <v>11.176319835981548</v>
      </c>
      <c r="K20" s="217">
        <v>4990</v>
      </c>
      <c r="L20" s="211">
        <f>K20/$K$12*100</f>
        <v>9.0667926448143028</v>
      </c>
      <c r="M20" s="218">
        <v>5445.0799816355284</v>
      </c>
      <c r="N20" s="214">
        <f t="shared" si="0"/>
        <v>7.6578282598390821</v>
      </c>
      <c r="R20" s="42"/>
      <c r="S20" s="42"/>
      <c r="T20" s="42"/>
    </row>
    <row r="21" spans="2:20" ht="15" x14ac:dyDescent="0.25">
      <c r="B21" s="215" t="s">
        <v>73</v>
      </c>
      <c r="C21" s="78">
        <v>621</v>
      </c>
      <c r="D21" s="211">
        <f>C21/$C$12*100</f>
        <v>6.1680572109654355</v>
      </c>
      <c r="E21" s="216">
        <v>1328</v>
      </c>
      <c r="F21" s="211">
        <f>E21/$E$12*100</f>
        <v>7.9630629010013791</v>
      </c>
      <c r="G21" s="216">
        <v>2711</v>
      </c>
      <c r="H21" s="211">
        <f>G21/$G$12*100</f>
        <v>10.692171169394598</v>
      </c>
      <c r="I21" s="216">
        <v>4895</v>
      </c>
      <c r="J21" s="211">
        <f>I21/$I$12*100</f>
        <v>12.544848795489493</v>
      </c>
      <c r="K21" s="217">
        <v>5862</v>
      </c>
      <c r="L21" s="211">
        <f>K21/$K$12*100</f>
        <v>10.651210117014317</v>
      </c>
      <c r="M21" s="218">
        <v>6776.3665421631049</v>
      </c>
      <c r="N21" s="214">
        <f t="shared" si="0"/>
        <v>9.530117350088565</v>
      </c>
      <c r="R21" s="42"/>
      <c r="S21" s="42"/>
      <c r="T21" s="42"/>
    </row>
    <row r="22" spans="2:20" ht="15" x14ac:dyDescent="0.25">
      <c r="B22" s="215" t="s">
        <v>74</v>
      </c>
      <c r="C22" s="78">
        <v>558</v>
      </c>
      <c r="D22" s="211">
        <f>C22/$C$12*100</f>
        <v>5.5423122765196657</v>
      </c>
      <c r="E22" s="216">
        <v>1055</v>
      </c>
      <c r="F22" s="211">
        <f>E22/$E$12*100</f>
        <v>6.3260778317443185</v>
      </c>
      <c r="G22" s="216">
        <v>2357</v>
      </c>
      <c r="H22" s="211">
        <f>G22/$G$12*100</f>
        <v>9.2959968448037866</v>
      </c>
      <c r="I22" s="216">
        <v>4543</v>
      </c>
      <c r="J22" s="211">
        <f>I22/$I$12*100</f>
        <v>11.642747309072272</v>
      </c>
      <c r="K22" s="217">
        <v>6322</v>
      </c>
      <c r="L22" s="211">
        <f>K22/$K$12*100</f>
        <v>11.487026673450105</v>
      </c>
      <c r="M22" s="218">
        <v>7086.3450875549261</v>
      </c>
      <c r="N22" s="214">
        <f t="shared" si="0"/>
        <v>9.9660636489218639</v>
      </c>
      <c r="R22" s="42"/>
      <c r="S22" s="42"/>
      <c r="T22" s="42"/>
    </row>
    <row r="23" spans="2:20" ht="15" x14ac:dyDescent="0.25">
      <c r="B23" s="215" t="s">
        <v>75</v>
      </c>
      <c r="C23" s="78">
        <v>498</v>
      </c>
      <c r="D23" s="211">
        <f>C23/$C$12*100</f>
        <v>4.9463647199046488</v>
      </c>
      <c r="E23" s="216">
        <v>1031</v>
      </c>
      <c r="F23" s="211">
        <f>E23/$E$12*100</f>
        <v>6.1821670564250164</v>
      </c>
      <c r="G23" s="216">
        <v>1717</v>
      </c>
      <c r="H23" s="211">
        <f>G23/$G$12*100</f>
        <v>6.7718398737921515</v>
      </c>
      <c r="I23" s="216">
        <v>3585</v>
      </c>
      <c r="J23" s="211">
        <f>I23/$I$12*100</f>
        <v>9.1875961045617629</v>
      </c>
      <c r="K23" s="217">
        <v>5967</v>
      </c>
      <c r="L23" s="211">
        <f>K23/$K$12*100</f>
        <v>10.841994330983356</v>
      </c>
      <c r="M23" s="218">
        <v>6869.5943661946412</v>
      </c>
      <c r="N23" s="214">
        <f t="shared" si="0"/>
        <v>9.6612306978960945</v>
      </c>
      <c r="R23" s="42"/>
      <c r="S23" s="42"/>
      <c r="T23" s="42"/>
    </row>
    <row r="24" spans="2:20" ht="15" x14ac:dyDescent="0.25">
      <c r="B24" s="215" t="s">
        <v>76</v>
      </c>
      <c r="C24" s="78">
        <v>402</v>
      </c>
      <c r="D24" s="211">
        <f>C24/$C$12*100</f>
        <v>3.9928486293206196</v>
      </c>
      <c r="E24" s="216">
        <v>846</v>
      </c>
      <c r="F24" s="211">
        <f>E24/$E$12*100</f>
        <v>5.0728548300053964</v>
      </c>
      <c r="G24" s="216">
        <v>1327</v>
      </c>
      <c r="H24" s="211">
        <f>G24/$G$12*100</f>
        <v>5.233681719581937</v>
      </c>
      <c r="I24" s="216">
        <v>2944</v>
      </c>
      <c r="J24" s="211">
        <f>I24/$I$12*100</f>
        <v>7.5448487954894921</v>
      </c>
      <c r="K24" s="217">
        <v>5016</v>
      </c>
      <c r="L24" s="211">
        <f>K24/$K$12*100</f>
        <v>9.1140344501780657</v>
      </c>
      <c r="M24" s="218">
        <v>6559.186416239766</v>
      </c>
      <c r="N24" s="214">
        <f t="shared" si="0"/>
        <v>9.2246804949128194</v>
      </c>
      <c r="R24" s="42"/>
      <c r="S24" s="42"/>
      <c r="T24" s="42"/>
    </row>
    <row r="25" spans="2:20" x14ac:dyDescent="0.2">
      <c r="B25" s="215"/>
      <c r="C25" s="78"/>
      <c r="D25" s="211"/>
      <c r="E25" s="216"/>
      <c r="F25" s="211"/>
      <c r="G25" s="216"/>
      <c r="H25" s="211"/>
      <c r="I25" s="216"/>
      <c r="J25" s="211"/>
      <c r="K25" s="217"/>
      <c r="L25" s="211"/>
      <c r="M25" s="218"/>
      <c r="N25" s="214"/>
    </row>
    <row r="26" spans="2:20" ht="15" x14ac:dyDescent="0.25">
      <c r="B26" s="215" t="s">
        <v>84</v>
      </c>
      <c r="C26" s="78">
        <v>390</v>
      </c>
      <c r="D26" s="211">
        <f>C26/$C$12*100</f>
        <v>3.8736591179976161</v>
      </c>
      <c r="E26" s="216">
        <v>758</v>
      </c>
      <c r="F26" s="211">
        <f>E26/$E$12*100</f>
        <v>4.5451819871679557</v>
      </c>
      <c r="G26" s="216">
        <v>1126</v>
      </c>
      <c r="H26" s="211">
        <f>G26/$G$12*100</f>
        <v>4.440938670873595</v>
      </c>
      <c r="I26" s="216">
        <v>2091</v>
      </c>
      <c r="J26" s="211">
        <f>I26/$I$12*100</f>
        <v>5.3587903639159409</v>
      </c>
      <c r="K26" s="217">
        <v>3784</v>
      </c>
      <c r="L26" s="211">
        <f>K26/$K$12*100</f>
        <v>6.8754996729413476</v>
      </c>
      <c r="M26" s="218">
        <v>5939.4520825792879</v>
      </c>
      <c r="N26" s="214">
        <f t="shared" si="0"/>
        <v>8.3531011774548851</v>
      </c>
      <c r="R26" s="42"/>
      <c r="S26" s="42"/>
      <c r="T26" s="42"/>
    </row>
    <row r="27" spans="2:20" ht="15" x14ac:dyDescent="0.25">
      <c r="B27" s="215" t="s">
        <v>85</v>
      </c>
      <c r="C27" s="78">
        <v>372</v>
      </c>
      <c r="D27" s="211">
        <f>C27/$C$12*100</f>
        <v>3.6948748510131106</v>
      </c>
      <c r="E27" s="216">
        <v>584</v>
      </c>
      <c r="F27" s="211">
        <f>E27/$E$12*100</f>
        <v>3.5018288661030161</v>
      </c>
      <c r="G27" s="216">
        <v>878</v>
      </c>
      <c r="H27" s="211">
        <f>G27/$G$12*100</f>
        <v>3.4628278446065863</v>
      </c>
      <c r="I27" s="216">
        <v>1356</v>
      </c>
      <c r="J27" s="211">
        <f>I27/$I$12*100</f>
        <v>3.4751409533572533</v>
      </c>
      <c r="K27" s="217">
        <v>2657</v>
      </c>
      <c r="L27" s="211">
        <f>K27/$K$12*100</f>
        <v>4.8277491096736682</v>
      </c>
      <c r="M27" s="218">
        <v>4832.9159689344415</v>
      </c>
      <c r="N27" s="214">
        <f t="shared" si="0"/>
        <v>6.7968956579435273</v>
      </c>
      <c r="R27" s="42"/>
      <c r="S27" s="42"/>
      <c r="T27" s="42"/>
    </row>
    <row r="28" spans="2:20" ht="15" x14ac:dyDescent="0.25">
      <c r="B28" s="215" t="s">
        <v>86</v>
      </c>
      <c r="C28" s="78">
        <v>316</v>
      </c>
      <c r="D28" s="211">
        <f>C28/$C$12*100</f>
        <v>3.1386571315057608</v>
      </c>
      <c r="E28" s="216">
        <v>476</v>
      </c>
      <c r="F28" s="211">
        <f>E28/$E$12*100</f>
        <v>2.8542303771661568</v>
      </c>
      <c r="G28" s="216">
        <v>686</v>
      </c>
      <c r="H28" s="211">
        <f>G28/$G$12*100</f>
        <v>2.7055807533030962</v>
      </c>
      <c r="I28" s="216">
        <v>1038</v>
      </c>
      <c r="J28" s="211">
        <f>I28/$I$12*100</f>
        <v>2.6601742696053305</v>
      </c>
      <c r="K28" s="217">
        <v>1727</v>
      </c>
      <c r="L28" s="211">
        <f>K28/$K$12*100</f>
        <v>3.137946071662185</v>
      </c>
      <c r="M28" s="218">
        <v>3358.1064421384017</v>
      </c>
      <c r="N28" s="214">
        <f t="shared" si="0"/>
        <v>4.7227593531933616</v>
      </c>
      <c r="R28" s="42"/>
      <c r="S28" s="42"/>
      <c r="T28" s="42"/>
    </row>
    <row r="29" spans="2:20" ht="15" x14ac:dyDescent="0.25">
      <c r="B29" s="219" t="s">
        <v>87</v>
      </c>
      <c r="C29" s="78">
        <v>252</v>
      </c>
      <c r="D29" s="211">
        <f>C29/$C$12*100</f>
        <v>2.5029797377830754</v>
      </c>
      <c r="E29" s="216">
        <v>439</v>
      </c>
      <c r="F29" s="211">
        <f>E29/$E$12*100</f>
        <v>2.6323679318822331</v>
      </c>
      <c r="G29" s="216">
        <v>521</v>
      </c>
      <c r="H29" s="211">
        <f>G29/$G$12*100</f>
        <v>2.0548215342141591</v>
      </c>
      <c r="I29" s="216">
        <v>797</v>
      </c>
      <c r="J29" s="211">
        <f>I29/$I$12*100</f>
        <v>2.0425422860071758</v>
      </c>
      <c r="K29" s="217">
        <v>1076</v>
      </c>
      <c r="L29" s="211">
        <f>K29/$K$12*100</f>
        <v>1.9550839450541462</v>
      </c>
      <c r="M29" s="218">
        <v>2214.6650248734682</v>
      </c>
      <c r="N29" s="214">
        <f t="shared" si="0"/>
        <v>3.1146511108656236</v>
      </c>
      <c r="R29" s="42"/>
      <c r="S29" s="42"/>
      <c r="T29" s="42"/>
    </row>
    <row r="30" spans="2:20" ht="15" x14ac:dyDescent="0.25">
      <c r="B30" s="219" t="s">
        <v>77</v>
      </c>
      <c r="C30" s="78">
        <v>205</v>
      </c>
      <c r="D30" s="211">
        <f>C30/$C$12*100</f>
        <v>2.036154151767978</v>
      </c>
      <c r="E30" s="216">
        <v>299</v>
      </c>
      <c r="F30" s="211">
        <f>E30/$E$12*100</f>
        <v>1.7928884091863044</v>
      </c>
      <c r="G30" s="216">
        <v>412</v>
      </c>
      <c r="H30" s="211">
        <f>G30/$G$12*100</f>
        <v>1.6249260500887399</v>
      </c>
      <c r="I30" s="216">
        <v>563</v>
      </c>
      <c r="J30" s="211">
        <f>I30/$I$12*100</f>
        <v>1.4428498206048179</v>
      </c>
      <c r="K30" s="217">
        <v>732</v>
      </c>
      <c r="L30" s="211">
        <f>K30/$K$12*100</f>
        <v>1.3300385202412965</v>
      </c>
      <c r="M30" s="218">
        <v>1436.6689489729752</v>
      </c>
      <c r="N30" s="214">
        <f t="shared" si="0"/>
        <v>2.0204963222916668</v>
      </c>
      <c r="R30" s="42"/>
      <c r="S30" s="42"/>
      <c r="T30" s="42"/>
    </row>
    <row r="31" spans="2:20" x14ac:dyDescent="0.2">
      <c r="B31" s="219"/>
      <c r="C31" s="78"/>
      <c r="D31" s="211"/>
      <c r="E31" s="216"/>
      <c r="F31" s="211"/>
      <c r="G31" s="216"/>
      <c r="H31" s="211"/>
      <c r="I31" s="216"/>
      <c r="J31" s="211"/>
      <c r="K31" s="217"/>
      <c r="L31" s="211"/>
      <c r="M31" s="218"/>
      <c r="N31" s="214"/>
    </row>
    <row r="32" spans="2:20" x14ac:dyDescent="0.2">
      <c r="B32" s="219" t="s">
        <v>78</v>
      </c>
      <c r="C32" s="78">
        <v>138</v>
      </c>
      <c r="D32" s="211">
        <f>C32/$C$12*100</f>
        <v>1.3706793802145412</v>
      </c>
      <c r="E32" s="216">
        <v>213</v>
      </c>
      <c r="F32" s="211">
        <f>E32/$E$12*100</f>
        <v>1.2772081309588057</v>
      </c>
      <c r="G32" s="216">
        <v>307</v>
      </c>
      <c r="H32" s="211">
        <f>G32/$G$12*100</f>
        <v>1.2108065470321436</v>
      </c>
      <c r="I32" s="216">
        <v>377</v>
      </c>
      <c r="J32" s="211">
        <f>I32/$I$12*100</f>
        <v>0.96617119425935416</v>
      </c>
      <c r="K32" s="217">
        <v>534</v>
      </c>
      <c r="L32" s="211">
        <f>K32/$K$12*100</f>
        <v>0.97027400247110973</v>
      </c>
      <c r="M32" s="218">
        <v>907.35561693269528</v>
      </c>
      <c r="N32" s="214">
        <f t="shared" si="0"/>
        <v>1.2760829057618084</v>
      </c>
    </row>
    <row r="33" spans="2:14" x14ac:dyDescent="0.2">
      <c r="B33" s="219" t="s">
        <v>79</v>
      </c>
      <c r="C33" s="78">
        <v>94</v>
      </c>
      <c r="D33" s="211">
        <f>C33/$C$12*100</f>
        <v>0.93365117203019465</v>
      </c>
      <c r="E33" s="216">
        <v>118</v>
      </c>
      <c r="F33" s="211">
        <f>E33/$E$12*100</f>
        <v>0.70756131198656835</v>
      </c>
      <c r="G33" s="216">
        <v>191</v>
      </c>
      <c r="H33" s="211">
        <f>G33/$G$12*100</f>
        <v>0.75330309603628476</v>
      </c>
      <c r="I33" s="216">
        <v>255</v>
      </c>
      <c r="J33" s="211">
        <f>I33/$I$12*100</f>
        <v>0.65351101998974881</v>
      </c>
      <c r="K33" s="217">
        <v>365</v>
      </c>
      <c r="L33" s="211">
        <f>K33/$K$12*100</f>
        <v>0.66320226760665746</v>
      </c>
      <c r="M33" s="218">
        <v>527.08784851421444</v>
      </c>
      <c r="N33" s="214">
        <f t="shared" si="0"/>
        <v>0.74128355054162898</v>
      </c>
    </row>
    <row r="34" spans="2:14" x14ac:dyDescent="0.2">
      <c r="B34" s="219" t="s">
        <v>80</v>
      </c>
      <c r="C34" s="78">
        <v>69</v>
      </c>
      <c r="D34" s="211">
        <f>C34/$C$12*100</f>
        <v>0.68533969010727058</v>
      </c>
      <c r="E34" s="216">
        <v>94</v>
      </c>
      <c r="F34" s="211">
        <f>E34/$E$12*100</f>
        <v>0.56365053666726628</v>
      </c>
      <c r="G34" s="216">
        <v>170</v>
      </c>
      <c r="H34" s="211">
        <f>G34/$G$12*100</f>
        <v>0.67047919542496548</v>
      </c>
      <c r="I34" s="216">
        <v>202</v>
      </c>
      <c r="J34" s="211">
        <f>I34/$I$12*100</f>
        <v>0.5176832393644285</v>
      </c>
      <c r="K34" s="217">
        <v>278</v>
      </c>
      <c r="L34" s="211">
        <f>K34/$K$12*100</f>
        <v>0.50512391888945418</v>
      </c>
      <c r="M34" s="218">
        <v>516.27005142883775</v>
      </c>
      <c r="N34" s="214">
        <f t="shared" si="0"/>
        <v>0.72606966341618784</v>
      </c>
    </row>
    <row r="35" spans="2:14" x14ac:dyDescent="0.2">
      <c r="B35" s="171" t="s">
        <v>88</v>
      </c>
      <c r="C35" s="220" t="s">
        <v>70</v>
      </c>
      <c r="D35" s="221" t="s">
        <v>70</v>
      </c>
      <c r="E35" s="222" t="s">
        <v>70</v>
      </c>
      <c r="F35" s="221" t="s">
        <v>70</v>
      </c>
      <c r="G35" s="222" t="s">
        <v>70</v>
      </c>
      <c r="H35" s="221" t="s">
        <v>70</v>
      </c>
      <c r="I35" s="223">
        <v>70</v>
      </c>
      <c r="J35" s="221">
        <f>I35/$I$12*100</f>
        <v>0.17939518195797027</v>
      </c>
      <c r="K35" s="222" t="s">
        <v>70</v>
      </c>
      <c r="L35" s="221">
        <f>-K40</f>
        <v>0</v>
      </c>
      <c r="M35" s="224">
        <v>515.18819887146287</v>
      </c>
      <c r="N35" s="225">
        <f t="shared" si="0"/>
        <v>0.72454817225080814</v>
      </c>
    </row>
    <row r="37" spans="2:14" x14ac:dyDescent="0.2">
      <c r="B37" s="55" t="s">
        <v>38</v>
      </c>
      <c r="C37" s="79"/>
      <c r="D37" s="79"/>
      <c r="E37" s="226"/>
      <c r="F37" s="226"/>
      <c r="G37" s="80"/>
      <c r="H37" s="80"/>
      <c r="I37" s="79"/>
      <c r="J37" s="79"/>
      <c r="K37" s="79"/>
      <c r="L37" s="79"/>
      <c r="M37" s="79"/>
      <c r="N37" s="79"/>
    </row>
    <row r="45" spans="2:14" x14ac:dyDescent="0.2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</sheetData>
  <mergeCells count="7">
    <mergeCell ref="M9:N9"/>
    <mergeCell ref="C7:L7"/>
    <mergeCell ref="B9:B10"/>
    <mergeCell ref="C9:D9"/>
    <mergeCell ref="E9:F9"/>
    <mergeCell ref="G9:H9"/>
    <mergeCell ref="K9:L9"/>
  </mergeCells>
  <pageMargins left="0.7" right="0.7" top="0.75" bottom="0.75" header="0.3" footer="0.3"/>
  <pageSetup scale="72" orientation="portrait" r:id="rId1"/>
  <ignoredErrors>
    <ignoredError sqref="D12:L12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84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38100</xdr:rowOff>
              </from>
              <to>
                <xdr:col>1</xdr:col>
                <xdr:colOff>209550</xdr:colOff>
                <xdr:row>3</xdr:row>
                <xdr:rowOff>28575</xdr:rowOff>
              </to>
            </anchor>
          </objectPr>
        </oleObject>
      </mc:Choice>
      <mc:Fallback>
        <oleObject progId="MSPhotoEd.3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Q53"/>
  <sheetViews>
    <sheetView workbookViewId="0">
      <selection activeCell="P3" sqref="P3"/>
    </sheetView>
  </sheetViews>
  <sheetFormatPr defaultRowHeight="12.75" x14ac:dyDescent="0.2"/>
  <cols>
    <col min="1" max="2" width="9.140625" style="46"/>
    <col min="3" max="3" width="6.42578125" style="46" customWidth="1"/>
    <col min="4" max="7" width="10.28515625" style="46" customWidth="1"/>
    <col min="8" max="12" width="9.42578125" style="46" customWidth="1"/>
    <col min="13" max="13" width="9.42578125" style="59" bestFit="1" customWidth="1"/>
    <col min="14" max="14" width="11.140625" style="46" customWidth="1"/>
    <col min="15" max="16384" width="9.140625" style="46"/>
  </cols>
  <sheetData>
    <row r="3" spans="2:17" x14ac:dyDescent="0.2">
      <c r="I3" s="65" t="s">
        <v>314</v>
      </c>
      <c r="J3" s="65"/>
      <c r="K3" s="44"/>
      <c r="L3" s="44"/>
      <c r="M3" s="50"/>
      <c r="N3" s="57"/>
      <c r="P3" s="57"/>
    </row>
    <row r="7" spans="2:17" ht="25.5" customHeight="1" x14ac:dyDescent="0.25">
      <c r="B7" s="86">
        <v>1.1000000000000001</v>
      </c>
      <c r="C7" s="407" t="s">
        <v>135</v>
      </c>
      <c r="D7" s="407"/>
      <c r="E7" s="407"/>
      <c r="F7" s="407"/>
      <c r="G7" s="407"/>
      <c r="H7" s="407"/>
      <c r="I7" s="407"/>
      <c r="J7" s="407"/>
      <c r="K7" s="407"/>
      <c r="L7" s="407"/>
      <c r="M7" s="42"/>
      <c r="N7" s="42"/>
      <c r="O7" s="47"/>
    </row>
    <row r="9" spans="2:17" ht="25.5" customHeight="1" x14ac:dyDescent="0.2">
      <c r="B9" s="408" t="s">
        <v>0</v>
      </c>
      <c r="C9" s="409"/>
      <c r="D9" s="411">
        <v>1989</v>
      </c>
      <c r="E9" s="411">
        <v>1999</v>
      </c>
      <c r="F9" s="411">
        <v>2010</v>
      </c>
      <c r="G9" s="411">
        <v>2021</v>
      </c>
      <c r="H9" s="404" t="s">
        <v>40</v>
      </c>
      <c r="I9" s="405"/>
      <c r="J9" s="406"/>
      <c r="K9" s="404" t="s">
        <v>39</v>
      </c>
      <c r="L9" s="405"/>
      <c r="M9" s="405"/>
    </row>
    <row r="10" spans="2:17" s="116" customFormat="1" x14ac:dyDescent="0.2">
      <c r="B10" s="410"/>
      <c r="C10" s="410"/>
      <c r="D10" s="412"/>
      <c r="E10" s="412"/>
      <c r="F10" s="412"/>
      <c r="G10" s="412"/>
      <c r="H10" s="227" t="s">
        <v>109</v>
      </c>
      <c r="I10" s="228" t="s">
        <v>110</v>
      </c>
      <c r="J10" s="229" t="s">
        <v>134</v>
      </c>
      <c r="K10" s="227" t="s">
        <v>109</v>
      </c>
      <c r="L10" s="228" t="s">
        <v>110</v>
      </c>
      <c r="M10" s="230" t="s">
        <v>134</v>
      </c>
    </row>
    <row r="11" spans="2:17" x14ac:dyDescent="0.2">
      <c r="B11" s="59"/>
      <c r="C11" s="59"/>
      <c r="D11" s="59"/>
      <c r="E11" s="59"/>
      <c r="F11" s="59"/>
      <c r="G11" s="59"/>
      <c r="H11" s="231"/>
      <c r="I11" s="59"/>
      <c r="J11" s="231"/>
      <c r="K11" s="231"/>
      <c r="L11" s="205"/>
      <c r="M11" s="205"/>
    </row>
    <row r="12" spans="2:17" ht="15" x14ac:dyDescent="0.25">
      <c r="B12" s="122" t="s">
        <v>21</v>
      </c>
      <c r="C12" s="59"/>
      <c r="D12" s="53">
        <v>25355</v>
      </c>
      <c r="E12" s="53">
        <v>39020</v>
      </c>
      <c r="F12" s="53">
        <f>SUM(F14:F24)</f>
        <v>55036</v>
      </c>
      <c r="G12" s="53">
        <v>71104.754466629631</v>
      </c>
      <c r="H12" s="232">
        <v>53.894695326365614</v>
      </c>
      <c r="I12" s="123">
        <f>(F12/E12-1)*100</f>
        <v>41.045617631983603</v>
      </c>
      <c r="J12" s="232">
        <f>(G12/F12-1)*100</f>
        <v>29.196806575022947</v>
      </c>
      <c r="K12" s="232">
        <f>((E12/D12)^(1/10)-1)*100</f>
        <v>4.4052565819573397</v>
      </c>
      <c r="L12" s="233">
        <f>((F12/E12)^(1/11)-1)*100</f>
        <v>3.1758713185661369</v>
      </c>
      <c r="M12" s="233">
        <f>((G12/F12)^(1/11)-1)*100</f>
        <v>2.3561160681992099</v>
      </c>
      <c r="O12" s="42"/>
      <c r="P12" s="42"/>
      <c r="Q12" s="42"/>
    </row>
    <row r="13" spans="2:17" ht="15" x14ac:dyDescent="0.25">
      <c r="B13" s="59"/>
      <c r="C13" s="59"/>
      <c r="D13" s="53"/>
      <c r="E13" s="53"/>
      <c r="F13" s="59"/>
      <c r="G13" s="59"/>
      <c r="H13" s="232"/>
      <c r="I13" s="123"/>
      <c r="J13" s="232"/>
      <c r="K13" s="232"/>
      <c r="L13" s="233"/>
      <c r="M13" s="233"/>
      <c r="O13" s="42"/>
      <c r="P13" s="42"/>
      <c r="Q13" s="42"/>
    </row>
    <row r="14" spans="2:17" ht="15" x14ac:dyDescent="0.25">
      <c r="B14" s="122" t="s">
        <v>6</v>
      </c>
      <c r="C14" s="59"/>
      <c r="D14" s="53">
        <v>12921</v>
      </c>
      <c r="E14" s="53">
        <v>20626</v>
      </c>
      <c r="F14" s="53">
        <v>28089</v>
      </c>
      <c r="G14" s="53">
        <v>34920.729049173249</v>
      </c>
      <c r="H14" s="232">
        <v>59.631607460722847</v>
      </c>
      <c r="I14" s="123">
        <f>(F14/E14-1)*100</f>
        <v>36.18248812178804</v>
      </c>
      <c r="J14" s="232">
        <f>(G14/F14-1)*100</f>
        <v>24.321723981534582</v>
      </c>
      <c r="K14" s="232">
        <f>((E14/D14)^(1/10)-1)*100</f>
        <v>4.7880813772801067</v>
      </c>
      <c r="L14" s="233">
        <f t="shared" ref="L14:L24" si="0">((F14/E14)^(1/11)-1)*100</f>
        <v>2.8472875400996633</v>
      </c>
      <c r="M14" s="233">
        <f>((G14/F14)^(1/11)-1)*100</f>
        <v>1.9988285605341716</v>
      </c>
      <c r="O14" s="42"/>
      <c r="P14" s="42"/>
      <c r="Q14" s="42"/>
    </row>
    <row r="15" spans="2:17" ht="15" x14ac:dyDescent="0.25">
      <c r="B15" s="59"/>
      <c r="C15" s="59"/>
      <c r="D15" s="53"/>
      <c r="E15" s="53"/>
      <c r="F15" s="59"/>
      <c r="G15" s="59"/>
      <c r="H15" s="232"/>
      <c r="I15" s="123"/>
      <c r="J15" s="232"/>
      <c r="K15" s="232"/>
      <c r="L15" s="233"/>
      <c r="M15" s="233"/>
      <c r="O15" s="42"/>
      <c r="P15" s="42"/>
      <c r="Q15" s="42"/>
    </row>
    <row r="16" spans="2:17" ht="15" x14ac:dyDescent="0.25">
      <c r="B16" s="122" t="s">
        <v>7</v>
      </c>
      <c r="C16" s="59"/>
      <c r="D16" s="53">
        <v>5632</v>
      </c>
      <c r="E16" s="53">
        <v>8243</v>
      </c>
      <c r="F16" s="53">
        <v>11222</v>
      </c>
      <c r="G16" s="53">
        <v>15334.695777726141</v>
      </c>
      <c r="H16" s="232">
        <v>46.360085227272727</v>
      </c>
      <c r="I16" s="123">
        <f>(F16/E16-1)*100</f>
        <v>36.1397549435885</v>
      </c>
      <c r="J16" s="232">
        <f>(G16/F16-1)*100</f>
        <v>36.648509871022462</v>
      </c>
      <c r="K16" s="232">
        <f>((E16/D16)^(1/10)-1)*100</f>
        <v>3.8824695520852659</v>
      </c>
      <c r="L16" s="233">
        <f t="shared" si="0"/>
        <v>2.8443532297928176</v>
      </c>
      <c r="M16" s="233">
        <f>((G16/F16)^(1/11)-1)*100</f>
        <v>2.8792330988676618</v>
      </c>
      <c r="O16" s="42"/>
      <c r="P16" s="42"/>
      <c r="Q16" s="42"/>
    </row>
    <row r="17" spans="2:17" ht="15" x14ac:dyDescent="0.25">
      <c r="B17" s="59"/>
      <c r="C17" s="59"/>
      <c r="D17" s="53"/>
      <c r="E17" s="53"/>
      <c r="F17" s="53"/>
      <c r="G17" s="53"/>
      <c r="H17" s="232"/>
      <c r="I17" s="123"/>
      <c r="J17" s="232"/>
      <c r="K17" s="232"/>
      <c r="L17" s="233"/>
      <c r="M17" s="233"/>
      <c r="O17" s="42"/>
      <c r="P17" s="42"/>
      <c r="Q17" s="42"/>
    </row>
    <row r="18" spans="2:17" ht="15" x14ac:dyDescent="0.25">
      <c r="B18" s="122" t="s">
        <v>8</v>
      </c>
      <c r="C18" s="59"/>
      <c r="D18" s="53">
        <v>3407</v>
      </c>
      <c r="E18" s="53">
        <v>5764</v>
      </c>
      <c r="F18" s="53">
        <v>10543</v>
      </c>
      <c r="G18" s="53">
        <v>14844.96640278966</v>
      </c>
      <c r="H18" s="232">
        <v>69.181097739947162</v>
      </c>
      <c r="I18" s="123">
        <f>(F18/E18-1)*100</f>
        <v>82.911172796668978</v>
      </c>
      <c r="J18" s="232">
        <f>(G18/F18-1)*100</f>
        <v>40.804006476236943</v>
      </c>
      <c r="K18" s="232">
        <f>((E18/D18)^(1/10)-1)*100</f>
        <v>5.3986829115607371</v>
      </c>
      <c r="L18" s="233">
        <f t="shared" si="0"/>
        <v>5.6428286795596527</v>
      </c>
      <c r="M18" s="233">
        <f>((G18/F18)^(1/11)-1)*100</f>
        <v>3.159791496429265</v>
      </c>
      <c r="O18" s="42"/>
      <c r="P18" s="42"/>
      <c r="Q18" s="42"/>
    </row>
    <row r="19" spans="2:17" ht="15" x14ac:dyDescent="0.25">
      <c r="B19" s="59"/>
      <c r="C19" s="59"/>
      <c r="D19" s="53"/>
      <c r="E19" s="53"/>
      <c r="F19" s="53"/>
      <c r="G19" s="53"/>
      <c r="H19" s="232"/>
      <c r="I19" s="123"/>
      <c r="J19" s="232"/>
      <c r="K19" s="232"/>
      <c r="L19" s="233"/>
      <c r="M19" s="233"/>
      <c r="O19" s="42"/>
      <c r="P19" s="42"/>
      <c r="Q19" s="42"/>
    </row>
    <row r="20" spans="2:17" x14ac:dyDescent="0.2">
      <c r="B20" s="122" t="s">
        <v>10</v>
      </c>
      <c r="C20" s="59"/>
      <c r="D20" s="53">
        <v>1064</v>
      </c>
      <c r="E20" s="53">
        <v>1371</v>
      </c>
      <c r="F20" s="53">
        <v>1407</v>
      </c>
      <c r="G20" s="53">
        <v>1901.5902136878963</v>
      </c>
      <c r="H20" s="232">
        <v>28.853383458646608</v>
      </c>
      <c r="I20" s="123">
        <f>(F20/E20-1)*100</f>
        <v>2.6258205689277947</v>
      </c>
      <c r="J20" s="232">
        <f>(G20/F20-1)*100</f>
        <v>35.152111847043102</v>
      </c>
      <c r="K20" s="232">
        <f>((E20/D20)^(1/10)-1)*100</f>
        <v>2.5674557452516789</v>
      </c>
      <c r="L20" s="233">
        <f t="shared" si="0"/>
        <v>0.23590853233723674</v>
      </c>
      <c r="M20" s="233">
        <f>((G20/F20)^(1/11)-1)*100</f>
        <v>2.7763014929800933</v>
      </c>
    </row>
    <row r="21" spans="2:17" x14ac:dyDescent="0.2">
      <c r="B21" s="59"/>
      <c r="C21" s="59"/>
      <c r="D21" s="53"/>
      <c r="E21" s="53"/>
      <c r="F21" s="53"/>
      <c r="G21" s="53"/>
      <c r="H21" s="232"/>
      <c r="I21" s="123"/>
      <c r="J21" s="232"/>
      <c r="K21" s="232"/>
      <c r="L21" s="233"/>
      <c r="M21" s="233"/>
    </row>
    <row r="22" spans="2:17" x14ac:dyDescent="0.2">
      <c r="B22" s="122" t="s">
        <v>9</v>
      </c>
      <c r="C22" s="59"/>
      <c r="D22" s="53">
        <v>857</v>
      </c>
      <c r="E22" s="53">
        <v>1079</v>
      </c>
      <c r="F22" s="53">
        <v>1479</v>
      </c>
      <c r="G22" s="53">
        <v>1845.9353191343514</v>
      </c>
      <c r="H22" s="232">
        <v>25.904317386231046</v>
      </c>
      <c r="I22" s="123">
        <f>(F22/E22-1)*100</f>
        <v>37.071362372567187</v>
      </c>
      <c r="J22" s="232">
        <f>(G22/F22-1)*100</f>
        <v>24.809690272775619</v>
      </c>
      <c r="K22" s="232">
        <f>((E22/D22)^(1/10)-1)*100</f>
        <v>2.3302563938117027</v>
      </c>
      <c r="L22" s="233">
        <f t="shared" si="0"/>
        <v>2.9081338375659183</v>
      </c>
      <c r="M22" s="233">
        <f>((G22/F22)^(1/11)-1)*100</f>
        <v>2.0351590887070836</v>
      </c>
    </row>
    <row r="23" spans="2:17" x14ac:dyDescent="0.2">
      <c r="B23" s="59"/>
      <c r="C23" s="59"/>
      <c r="D23" s="53"/>
      <c r="E23" s="53"/>
      <c r="F23" s="53"/>
      <c r="G23" s="53"/>
      <c r="H23" s="232"/>
      <c r="I23" s="123"/>
      <c r="J23" s="232"/>
      <c r="K23" s="232"/>
      <c r="L23" s="233"/>
      <c r="M23" s="233"/>
    </row>
    <row r="24" spans="2:17" x14ac:dyDescent="0.2">
      <c r="B24" s="122" t="s">
        <v>11</v>
      </c>
      <c r="C24" s="59"/>
      <c r="D24" s="53">
        <v>1474</v>
      </c>
      <c r="E24" s="53">
        <v>1937</v>
      </c>
      <c r="F24" s="53">
        <v>2296</v>
      </c>
      <c r="G24" s="53">
        <v>2256.8377041132494</v>
      </c>
      <c r="H24" s="232">
        <v>31.411126187245596</v>
      </c>
      <c r="I24" s="123">
        <f>(F24/E24-1)*100</f>
        <v>18.53381517811048</v>
      </c>
      <c r="J24" s="232">
        <f>(G24/F24-1)*100</f>
        <v>-1.7056749079595201</v>
      </c>
      <c r="K24" s="232">
        <f>((E24/D24)^(1/10)-1)*100</f>
        <v>2.7692562990437875</v>
      </c>
      <c r="L24" s="233">
        <f t="shared" si="0"/>
        <v>1.5577178311830808</v>
      </c>
      <c r="M24" s="233">
        <f>((G24/F24)^(1/11)-1)*100</f>
        <v>-0.15627676957160608</v>
      </c>
    </row>
    <row r="25" spans="2:17" x14ac:dyDescent="0.2">
      <c r="B25" s="68"/>
      <c r="C25" s="68"/>
      <c r="D25" s="68"/>
      <c r="E25" s="68"/>
      <c r="F25" s="68"/>
      <c r="G25" s="68"/>
      <c r="H25" s="234"/>
      <c r="I25" s="68"/>
      <c r="J25" s="234"/>
      <c r="K25" s="234"/>
      <c r="L25" s="235"/>
      <c r="M25" s="235"/>
    </row>
    <row r="26" spans="2:17" x14ac:dyDescent="0.2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2:17" x14ac:dyDescent="0.2">
      <c r="B27" s="66" t="s">
        <v>41</v>
      </c>
    </row>
    <row r="28" spans="2:17" x14ac:dyDescent="0.2">
      <c r="B28" s="46" t="s">
        <v>42</v>
      </c>
    </row>
    <row r="29" spans="2:17" x14ac:dyDescent="0.2">
      <c r="B29" s="213"/>
    </row>
    <row r="30" spans="2:17" x14ac:dyDescent="0.2">
      <c r="B30" s="55" t="s">
        <v>38</v>
      </c>
    </row>
    <row r="50" spans="1:16" x14ac:dyDescent="0.2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81"/>
      <c r="N50" s="76"/>
    </row>
    <row r="51" spans="1:16" x14ac:dyDescent="0.2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</row>
    <row r="53" spans="1:16" ht="12.75" customHeight="1" x14ac:dyDescent="0.2">
      <c r="O53" s="76"/>
      <c r="P53" s="76"/>
    </row>
  </sheetData>
  <mergeCells count="8">
    <mergeCell ref="H9:J9"/>
    <mergeCell ref="K9:M9"/>
    <mergeCell ref="C7:L7"/>
    <mergeCell ref="B9:C10"/>
    <mergeCell ref="D9:D10"/>
    <mergeCell ref="E9:E10"/>
    <mergeCell ref="F9:F10"/>
    <mergeCell ref="G9:G10"/>
  </mergeCells>
  <pageMargins left="0.7" right="0.7" top="0.75" bottom="0.75" header="0.3" footer="0.3"/>
  <pageSetup scale="67" orientation="portrait" r:id="rId1"/>
  <colBreaks count="1" manualBreakCount="1">
    <brk id="14" max="52" man="1"/>
  </colBreaks>
  <drawing r:id="rId2"/>
  <legacyDrawing r:id="rId3"/>
  <oleObjects>
    <mc:AlternateContent xmlns:mc="http://schemas.openxmlformats.org/markup-compatibility/2006">
      <mc:Choice Requires="x14">
        <oleObject progId="MSPhotoEd.3" shapeId="7171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28575</xdr:rowOff>
              </from>
              <to>
                <xdr:col>1</xdr:col>
                <xdr:colOff>104775</xdr:colOff>
                <xdr:row>3</xdr:row>
                <xdr:rowOff>9525</xdr:rowOff>
              </to>
            </anchor>
          </objectPr>
        </oleObject>
      </mc:Choice>
      <mc:Fallback>
        <oleObject progId="MSPhotoEd.3" shapeId="717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R50"/>
  <sheetViews>
    <sheetView workbookViewId="0">
      <selection activeCell="N3" sqref="N3"/>
    </sheetView>
  </sheetViews>
  <sheetFormatPr defaultRowHeight="12.75" x14ac:dyDescent="0.2"/>
  <cols>
    <col min="1" max="1" width="3.28515625" style="46" customWidth="1"/>
    <col min="2" max="2" width="13.28515625" style="46" customWidth="1"/>
    <col min="3" max="3" width="9.42578125" style="46" bestFit="1" customWidth="1"/>
    <col min="4" max="4" width="12.5703125" style="46" customWidth="1"/>
    <col min="5" max="5" width="9.140625" style="46" customWidth="1"/>
    <col min="6" max="6" width="12.5703125" style="46" customWidth="1"/>
    <col min="7" max="7" width="9.140625" style="46" customWidth="1"/>
    <col min="8" max="8" width="12.5703125" style="46" customWidth="1"/>
    <col min="9" max="9" width="9.140625" style="46" customWidth="1"/>
    <col min="10" max="10" width="12.5703125" style="46" customWidth="1"/>
    <col min="11" max="11" width="9.140625" style="46" customWidth="1"/>
    <col min="12" max="16384" width="9.140625" style="46"/>
  </cols>
  <sheetData>
    <row r="3" spans="1:18" x14ac:dyDescent="0.2">
      <c r="H3" s="65" t="s">
        <v>314</v>
      </c>
      <c r="I3" s="44"/>
      <c r="J3" s="57"/>
      <c r="L3" s="57"/>
    </row>
    <row r="7" spans="1:18" x14ac:dyDescent="0.2">
      <c r="B7" s="82">
        <v>1.1100000000000001</v>
      </c>
      <c r="C7" s="378" t="s">
        <v>299</v>
      </c>
      <c r="D7" s="378"/>
      <c r="E7" s="378"/>
      <c r="F7" s="378"/>
      <c r="G7" s="378"/>
      <c r="H7" s="378"/>
      <c r="I7" s="378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">
      <c r="J8" s="59"/>
    </row>
    <row r="9" spans="1:18" x14ac:dyDescent="0.2">
      <c r="A9" s="59"/>
      <c r="G9" s="68"/>
      <c r="H9" s="59"/>
      <c r="I9" s="59"/>
      <c r="J9" s="59"/>
    </row>
    <row r="10" spans="1:18" x14ac:dyDescent="0.2">
      <c r="A10" s="59"/>
      <c r="B10" s="236"/>
      <c r="C10" s="237" t="s">
        <v>43</v>
      </c>
      <c r="D10" s="238">
        <v>1989</v>
      </c>
      <c r="E10" s="238"/>
      <c r="F10" s="239">
        <v>1999</v>
      </c>
      <c r="G10" s="238"/>
      <c r="H10" s="413">
        <v>2010</v>
      </c>
      <c r="I10" s="414"/>
      <c r="J10" s="413">
        <v>2021</v>
      </c>
      <c r="K10" s="377"/>
    </row>
    <row r="11" spans="1:18" x14ac:dyDescent="0.2">
      <c r="A11" s="59"/>
      <c r="B11" s="48" t="s">
        <v>44</v>
      </c>
      <c r="C11" s="240" t="s">
        <v>45</v>
      </c>
      <c r="D11" s="241" t="s">
        <v>46</v>
      </c>
      <c r="E11" s="242" t="s">
        <v>47</v>
      </c>
      <c r="F11" s="75" t="s">
        <v>46</v>
      </c>
      <c r="G11" s="242" t="s">
        <v>47</v>
      </c>
      <c r="H11" s="75" t="s">
        <v>46</v>
      </c>
      <c r="I11" s="75" t="s">
        <v>47</v>
      </c>
      <c r="J11" s="241" t="s">
        <v>46</v>
      </c>
      <c r="K11" s="75" t="s">
        <v>47</v>
      </c>
    </row>
    <row r="12" spans="1:18" x14ac:dyDescent="0.2">
      <c r="A12" s="59"/>
      <c r="B12" s="122"/>
      <c r="C12" s="243"/>
      <c r="D12" s="244"/>
      <c r="E12" s="245"/>
      <c r="F12" s="71"/>
      <c r="G12" s="245"/>
      <c r="H12" s="246"/>
      <c r="I12" s="247"/>
      <c r="J12" s="246"/>
      <c r="K12" s="247"/>
    </row>
    <row r="13" spans="1:18" x14ac:dyDescent="0.2">
      <c r="A13" s="59"/>
      <c r="B13" s="122" t="s">
        <v>1</v>
      </c>
      <c r="C13" s="248">
        <v>102</v>
      </c>
      <c r="D13" s="249">
        <v>25355</v>
      </c>
      <c r="E13" s="250">
        <f>D13/C13</f>
        <v>248.57843137254903</v>
      </c>
      <c r="F13" s="51">
        <v>39410</v>
      </c>
      <c r="G13" s="51">
        <f>F13/C13</f>
        <v>386.37254901960785</v>
      </c>
      <c r="H13" s="217">
        <v>55036</v>
      </c>
      <c r="I13" s="149">
        <f>H13/C13</f>
        <v>539.56862745098044</v>
      </c>
      <c r="J13" s="217">
        <v>71104.754466629631</v>
      </c>
      <c r="K13" s="149">
        <v>697.10543594734929</v>
      </c>
    </row>
    <row r="14" spans="1:18" x14ac:dyDescent="0.2">
      <c r="A14" s="59"/>
      <c r="B14" s="59"/>
      <c r="C14" s="251"/>
      <c r="D14" s="170"/>
      <c r="E14" s="252"/>
      <c r="F14" s="53"/>
      <c r="G14" s="252"/>
      <c r="H14" s="170"/>
      <c r="I14" s="149"/>
      <c r="J14" s="170"/>
      <c r="K14" s="149"/>
    </row>
    <row r="15" spans="1:18" x14ac:dyDescent="0.2">
      <c r="A15" s="59"/>
      <c r="B15" s="59" t="s">
        <v>48</v>
      </c>
      <c r="C15" s="248">
        <v>76</v>
      </c>
      <c r="D15" s="249">
        <v>23881</v>
      </c>
      <c r="E15" s="250">
        <f>+D15/C15</f>
        <v>314.2236842105263</v>
      </c>
      <c r="F15" s="51">
        <v>37473</v>
      </c>
      <c r="G15" s="250">
        <f>+F15/C15</f>
        <v>493.06578947368422</v>
      </c>
      <c r="H15" s="170">
        <v>52740</v>
      </c>
      <c r="I15" s="149">
        <f>H15/C15</f>
        <v>693.9473684210526</v>
      </c>
      <c r="J15" s="170">
        <v>68847.916762516426</v>
      </c>
      <c r="K15" s="149">
        <v>905.89364161205822</v>
      </c>
    </row>
    <row r="16" spans="1:18" x14ac:dyDescent="0.2">
      <c r="A16" s="59"/>
      <c r="B16" s="59" t="s">
        <v>49</v>
      </c>
      <c r="C16" s="248">
        <v>15</v>
      </c>
      <c r="D16" s="249">
        <v>1441</v>
      </c>
      <c r="E16" s="250">
        <f>+D16/C16</f>
        <v>96.066666666666663</v>
      </c>
      <c r="F16" s="51">
        <v>1822</v>
      </c>
      <c r="G16" s="250">
        <f>+F16/C16</f>
        <v>121.46666666666667</v>
      </c>
      <c r="H16" s="170">
        <v>2098</v>
      </c>
      <c r="I16" s="149">
        <f>H16/C16</f>
        <v>139.86666666666667</v>
      </c>
      <c r="J16" s="170">
        <v>2075.1906437894281</v>
      </c>
      <c r="K16" s="149">
        <v>138.3460429192952</v>
      </c>
    </row>
    <row r="17" spans="1:14" x14ac:dyDescent="0.2">
      <c r="A17" s="59"/>
      <c r="B17" s="59" t="s">
        <v>50</v>
      </c>
      <c r="C17" s="248">
        <v>11</v>
      </c>
      <c r="D17" s="249">
        <v>33</v>
      </c>
      <c r="E17" s="250">
        <f>+D17/C17</f>
        <v>3</v>
      </c>
      <c r="F17" s="51">
        <v>115</v>
      </c>
      <c r="G17" s="250">
        <f>+F17/C17</f>
        <v>10.454545454545455</v>
      </c>
      <c r="H17" s="170">
        <v>198</v>
      </c>
      <c r="I17" s="149">
        <f>H17/C17</f>
        <v>18</v>
      </c>
      <c r="J17" s="170">
        <v>181.64706032377714</v>
      </c>
      <c r="K17" s="149">
        <v>16.513369120343377</v>
      </c>
    </row>
    <row r="18" spans="1:14" x14ac:dyDescent="0.2">
      <c r="A18" s="59"/>
      <c r="B18" s="68"/>
      <c r="C18" s="253"/>
      <c r="D18" s="254"/>
      <c r="E18" s="255"/>
      <c r="F18" s="124"/>
      <c r="G18" s="255"/>
      <c r="H18" s="256"/>
      <c r="I18" s="257"/>
      <c r="J18" s="256"/>
      <c r="K18" s="257"/>
    </row>
    <row r="19" spans="1:14" x14ac:dyDescent="0.2">
      <c r="A19" s="59"/>
      <c r="B19" s="59"/>
      <c r="C19" s="150"/>
      <c r="D19" s="150"/>
      <c r="E19" s="150"/>
      <c r="F19" s="150"/>
      <c r="G19" s="150"/>
      <c r="H19" s="59"/>
      <c r="I19" s="59"/>
      <c r="J19" s="59"/>
    </row>
    <row r="20" spans="1:14" x14ac:dyDescent="0.2">
      <c r="B20" s="66" t="s">
        <v>41</v>
      </c>
      <c r="J20" s="59"/>
    </row>
    <row r="21" spans="1:14" x14ac:dyDescent="0.2">
      <c r="B21" s="44" t="s">
        <v>102</v>
      </c>
    </row>
    <row r="22" spans="1:14" x14ac:dyDescent="0.2">
      <c r="B22" s="44"/>
    </row>
    <row r="23" spans="1:14" ht="15" x14ac:dyDescent="0.25">
      <c r="B23" s="55" t="s">
        <v>38</v>
      </c>
      <c r="H23" s="42"/>
      <c r="I23" s="42"/>
      <c r="J23" s="42"/>
      <c r="K23" s="42"/>
      <c r="L23" s="42"/>
      <c r="M23" s="42"/>
      <c r="N23" s="42"/>
    </row>
    <row r="24" spans="1:14" ht="15" x14ac:dyDescent="0.25">
      <c r="H24" s="42"/>
      <c r="I24" s="42"/>
      <c r="J24" s="42"/>
      <c r="K24" s="42"/>
      <c r="L24" s="42"/>
      <c r="M24" s="42"/>
      <c r="N24" s="42"/>
    </row>
    <row r="25" spans="1:14" ht="15" x14ac:dyDescent="0.25">
      <c r="H25" s="42"/>
      <c r="I25" s="42"/>
      <c r="J25" s="42"/>
      <c r="K25" s="42"/>
      <c r="L25" s="42"/>
      <c r="M25" s="42"/>
      <c r="N25" s="42"/>
    </row>
    <row r="26" spans="1:14" ht="15" x14ac:dyDescent="0.25">
      <c r="H26" s="42"/>
      <c r="I26" s="42"/>
      <c r="J26" s="42"/>
      <c r="K26" s="42"/>
      <c r="L26" s="42"/>
      <c r="M26" s="42"/>
      <c r="N26" s="42"/>
    </row>
    <row r="27" spans="1:14" ht="15" x14ac:dyDescent="0.25">
      <c r="H27" s="42"/>
      <c r="I27" s="42"/>
      <c r="J27" s="42"/>
      <c r="K27" s="42"/>
      <c r="L27" s="42"/>
      <c r="M27" s="42"/>
      <c r="N27" s="42"/>
    </row>
    <row r="28" spans="1:14" ht="15" x14ac:dyDescent="0.25">
      <c r="H28" s="42"/>
      <c r="I28" s="42"/>
      <c r="J28" s="42"/>
      <c r="K28" s="42"/>
      <c r="L28" s="42"/>
      <c r="M28" s="42"/>
      <c r="N28" s="42"/>
    </row>
    <row r="29" spans="1:14" ht="15" x14ac:dyDescent="0.25">
      <c r="H29" s="42"/>
      <c r="I29" s="42"/>
      <c r="J29" s="42"/>
      <c r="K29" s="42"/>
      <c r="L29" s="42"/>
      <c r="M29" s="42"/>
      <c r="N29" s="42"/>
    </row>
    <row r="30" spans="1:14" ht="15" x14ac:dyDescent="0.25">
      <c r="H30" s="42"/>
      <c r="I30" s="42"/>
      <c r="J30" s="42"/>
      <c r="K30" s="42"/>
      <c r="L30" s="42"/>
      <c r="M30" s="42"/>
      <c r="N30" s="42"/>
    </row>
    <row r="31" spans="1:14" ht="15" x14ac:dyDescent="0.25">
      <c r="H31" s="42"/>
      <c r="I31" s="42"/>
      <c r="J31" s="42"/>
      <c r="K31" s="42"/>
      <c r="L31" s="42"/>
      <c r="M31" s="42"/>
      <c r="N31" s="42"/>
    </row>
    <row r="32" spans="1:14" ht="15" x14ac:dyDescent="0.25">
      <c r="H32" s="42"/>
      <c r="I32" s="42"/>
      <c r="J32" s="42"/>
      <c r="K32" s="42"/>
      <c r="L32" s="42"/>
      <c r="M32" s="42"/>
      <c r="N32" s="42"/>
    </row>
    <row r="49" spans="1:11" s="42" customFormat="1" ht="12.75" customHeight="1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</row>
  </sheetData>
  <mergeCells count="3">
    <mergeCell ref="C7:I7"/>
    <mergeCell ref="H10:I10"/>
    <mergeCell ref="J10:K10"/>
  </mergeCells>
  <pageMargins left="0.7" right="0.7" top="0.75" bottom="0.75" header="0.3" footer="0.3"/>
  <pageSetup scale="8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47625</xdr:rowOff>
              </from>
              <to>
                <xdr:col>1</xdr:col>
                <xdr:colOff>542925</xdr:colOff>
                <xdr:row>3</xdr:row>
                <xdr:rowOff>9525</xdr:rowOff>
              </to>
            </anchor>
          </objectPr>
        </oleObject>
      </mc:Choice>
      <mc:Fallback>
        <oleObject progId="MSPhotoEd.3" shapeId="8194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44"/>
  <sheetViews>
    <sheetView workbookViewId="0">
      <selection activeCell="F3" sqref="F3"/>
    </sheetView>
  </sheetViews>
  <sheetFormatPr defaultRowHeight="15" x14ac:dyDescent="0.25"/>
  <cols>
    <col min="1" max="1" width="9.140625" style="42"/>
    <col min="2" max="2" width="15.28515625" style="42" customWidth="1"/>
    <col min="3" max="8" width="10.5703125" style="42" customWidth="1"/>
    <col min="9" max="16384" width="9.140625" style="42"/>
  </cols>
  <sheetData>
    <row r="1" spans="2:23" s="46" customFormat="1" x14ac:dyDescent="0.25">
      <c r="P1" s="42"/>
      <c r="Q1" s="42"/>
      <c r="R1" s="42"/>
      <c r="S1" s="42"/>
      <c r="T1" s="42"/>
      <c r="U1" s="42"/>
      <c r="V1" s="42"/>
      <c r="W1" s="42"/>
    </row>
    <row r="2" spans="2:23" s="46" customFormat="1" x14ac:dyDescent="0.25">
      <c r="P2" s="42"/>
      <c r="Q2" s="42"/>
      <c r="R2" s="42"/>
      <c r="S2" s="42"/>
      <c r="T2" s="42"/>
      <c r="U2" s="42"/>
      <c r="V2" s="42"/>
      <c r="W2" s="42"/>
    </row>
    <row r="3" spans="2:23" s="46" customFormat="1" x14ac:dyDescent="0.25">
      <c r="F3" s="65" t="s">
        <v>314</v>
      </c>
      <c r="G3" s="44"/>
      <c r="H3" s="44"/>
      <c r="K3" s="57"/>
      <c r="P3" s="42"/>
      <c r="Q3" s="42"/>
      <c r="R3" s="42"/>
      <c r="S3" s="42"/>
      <c r="T3" s="42"/>
      <c r="U3" s="42"/>
      <c r="V3" s="42"/>
      <c r="W3" s="42"/>
    </row>
    <row r="7" spans="2:23" x14ac:dyDescent="0.25">
      <c r="B7" s="58">
        <v>1.1200000000000001</v>
      </c>
      <c r="C7" s="378" t="s">
        <v>300</v>
      </c>
      <c r="D7" s="378"/>
      <c r="E7" s="378"/>
      <c r="F7" s="378"/>
      <c r="G7" s="378"/>
      <c r="H7" s="47"/>
      <c r="I7" s="74"/>
    </row>
    <row r="8" spans="2:23" x14ac:dyDescent="0.25">
      <c r="B8" s="75"/>
      <c r="C8" s="75"/>
      <c r="D8" s="75"/>
      <c r="E8" s="75"/>
      <c r="F8" s="75"/>
      <c r="G8" s="75"/>
      <c r="H8" s="75"/>
      <c r="I8" s="59"/>
    </row>
    <row r="9" spans="2:23" x14ac:dyDescent="0.25">
      <c r="B9" s="48" t="s">
        <v>51</v>
      </c>
      <c r="C9" s="48">
        <v>1970</v>
      </c>
      <c r="D9" s="48">
        <v>1979</v>
      </c>
      <c r="E9" s="48">
        <v>1989</v>
      </c>
      <c r="F9" s="48">
        <v>1999</v>
      </c>
      <c r="G9" s="119">
        <v>2010</v>
      </c>
      <c r="H9" s="119">
        <v>2021</v>
      </c>
      <c r="I9" s="59"/>
    </row>
    <row r="10" spans="2:23" x14ac:dyDescent="0.25">
      <c r="B10" s="66"/>
      <c r="C10" s="79"/>
      <c r="D10" s="79"/>
      <c r="E10" s="79"/>
      <c r="F10" s="79"/>
      <c r="G10" s="46"/>
      <c r="H10" s="46"/>
      <c r="I10" s="59"/>
    </row>
    <row r="11" spans="2:23" x14ac:dyDescent="0.25">
      <c r="B11" s="59" t="s">
        <v>52</v>
      </c>
      <c r="C11" s="83">
        <v>3882</v>
      </c>
      <c r="D11" s="83">
        <v>4854</v>
      </c>
      <c r="E11" s="83">
        <v>5758</v>
      </c>
      <c r="F11" s="83">
        <v>7600</v>
      </c>
      <c r="G11" s="83">
        <v>9968</v>
      </c>
      <c r="H11" s="83">
        <v>11314.667751410501</v>
      </c>
      <c r="I11" s="59"/>
    </row>
    <row r="12" spans="2:23" x14ac:dyDescent="0.25">
      <c r="B12" s="59"/>
      <c r="C12" s="83"/>
      <c r="D12" s="83"/>
      <c r="E12" s="83"/>
      <c r="F12" s="83"/>
      <c r="G12" s="83"/>
      <c r="H12" s="83"/>
      <c r="I12" s="59"/>
    </row>
    <row r="13" spans="2:23" x14ac:dyDescent="0.25">
      <c r="B13" s="59" t="s">
        <v>53</v>
      </c>
      <c r="C13" s="83">
        <v>5428</v>
      </c>
      <c r="D13" s="83">
        <v>10660</v>
      </c>
      <c r="E13" s="83">
        <v>17996</v>
      </c>
      <c r="F13" s="83">
        <v>29156</v>
      </c>
      <c r="G13" s="83">
        <v>42082</v>
      </c>
      <c r="H13" s="83">
        <v>53672.851025636148</v>
      </c>
      <c r="I13" s="59"/>
    </row>
    <row r="14" spans="2:23" x14ac:dyDescent="0.25">
      <c r="B14" s="59"/>
      <c r="C14" s="83"/>
      <c r="D14" s="83"/>
      <c r="E14" s="83"/>
      <c r="F14" s="83"/>
      <c r="G14" s="83"/>
      <c r="H14" s="83"/>
      <c r="I14" s="46"/>
    </row>
    <row r="15" spans="2:23" x14ac:dyDescent="0.25">
      <c r="B15" s="50" t="s">
        <v>20</v>
      </c>
      <c r="C15" s="83">
        <v>758</v>
      </c>
      <c r="D15" s="83">
        <v>1163</v>
      </c>
      <c r="E15" s="83">
        <v>1601</v>
      </c>
      <c r="F15" s="83">
        <v>2264</v>
      </c>
      <c r="G15" s="83">
        <v>2985</v>
      </c>
      <c r="H15" s="83">
        <v>5602.0474907222333</v>
      </c>
      <c r="I15" s="46"/>
    </row>
    <row r="16" spans="2:23" x14ac:dyDescent="0.25">
      <c r="B16" s="59"/>
      <c r="C16" s="83"/>
      <c r="D16" s="83"/>
      <c r="E16" s="83"/>
      <c r="F16" s="83"/>
      <c r="G16" s="46"/>
      <c r="H16" s="46"/>
      <c r="I16" s="46"/>
    </row>
    <row r="17" spans="2:10" x14ac:dyDescent="0.25">
      <c r="B17" s="59" t="s">
        <v>54</v>
      </c>
      <c r="C17" s="59">
        <v>85.5</v>
      </c>
      <c r="D17" s="59">
        <v>56.4</v>
      </c>
      <c r="E17" s="59">
        <v>40.9</v>
      </c>
      <c r="F17" s="52">
        <v>33.831801344491701</v>
      </c>
      <c r="G17" s="258">
        <f>SUM(G11+G15)/G13*100</f>
        <v>30.780381160591226</v>
      </c>
      <c r="H17" s="258">
        <v>31.518197596868259</v>
      </c>
      <c r="I17" s="46"/>
    </row>
    <row r="18" spans="2:10" x14ac:dyDescent="0.25">
      <c r="B18" s="68"/>
      <c r="C18" s="259"/>
      <c r="D18" s="259"/>
      <c r="E18" s="259"/>
      <c r="F18" s="259" t="s">
        <v>55</v>
      </c>
      <c r="G18" s="68"/>
      <c r="H18" s="68"/>
      <c r="I18" s="46"/>
    </row>
    <row r="19" spans="2:10" x14ac:dyDescent="0.25">
      <c r="B19" s="59"/>
      <c r="C19" s="260"/>
      <c r="D19" s="260"/>
      <c r="E19" s="260"/>
      <c r="F19" s="260"/>
      <c r="G19" s="59"/>
      <c r="H19" s="59"/>
      <c r="I19" s="46"/>
    </row>
    <row r="20" spans="2:10" x14ac:dyDescent="0.25">
      <c r="B20" s="122" t="s">
        <v>41</v>
      </c>
      <c r="C20" s="59"/>
      <c r="D20" s="59"/>
      <c r="E20" s="260"/>
      <c r="F20" s="260"/>
      <c r="G20" s="260"/>
      <c r="H20" s="260"/>
      <c r="I20" s="260"/>
      <c r="J20" s="46"/>
    </row>
    <row r="21" spans="2:10" x14ac:dyDescent="0.25">
      <c r="B21" s="59" t="s">
        <v>56</v>
      </c>
      <c r="C21" s="59"/>
      <c r="D21" s="59"/>
      <c r="E21" s="84"/>
      <c r="F21" s="59"/>
      <c r="G21" s="59"/>
      <c r="H21" s="59"/>
      <c r="I21" s="52"/>
      <c r="J21" s="46"/>
    </row>
    <row r="22" spans="2:10" x14ac:dyDescent="0.25">
      <c r="B22" s="59" t="s">
        <v>111</v>
      </c>
      <c r="C22" s="59"/>
      <c r="D22" s="59"/>
      <c r="E22" s="84"/>
      <c r="F22" s="59"/>
      <c r="G22" s="59"/>
      <c r="H22" s="59"/>
      <c r="I22" s="52"/>
      <c r="J22" s="46"/>
    </row>
    <row r="23" spans="2:10" x14ac:dyDescent="0.25">
      <c r="B23" s="59"/>
      <c r="C23" s="59"/>
      <c r="D23" s="59"/>
      <c r="E23" s="84"/>
      <c r="F23" s="59"/>
      <c r="G23" s="59"/>
      <c r="H23" s="59"/>
      <c r="I23" s="52"/>
      <c r="J23" s="46"/>
    </row>
    <row r="24" spans="2:10" x14ac:dyDescent="0.25">
      <c r="B24" s="55" t="s">
        <v>38</v>
      </c>
      <c r="C24" s="67"/>
      <c r="D24" s="67"/>
      <c r="E24" s="67"/>
      <c r="F24" s="67"/>
      <c r="G24" s="67"/>
      <c r="H24" s="67"/>
      <c r="I24" s="67"/>
      <c r="J24" s="46"/>
    </row>
    <row r="25" spans="2:10" x14ac:dyDescent="0.25">
      <c r="B25" s="67"/>
      <c r="C25" s="67"/>
      <c r="D25" s="67"/>
      <c r="E25" s="67"/>
      <c r="F25" s="67"/>
      <c r="G25" s="67"/>
      <c r="H25" s="67"/>
      <c r="I25" s="67"/>
      <c r="J25" s="46"/>
    </row>
    <row r="43" spans="1:11" ht="12.75" customHeigh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85"/>
      <c r="B44" s="85"/>
      <c r="C44" s="85"/>
      <c r="D44" s="85"/>
      <c r="E44" s="85"/>
      <c r="F44" s="85"/>
      <c r="G44" s="85"/>
      <c r="H44" s="85"/>
    </row>
  </sheetData>
  <mergeCells count="1">
    <mergeCell ref="C7:G7"/>
  </mergeCells>
  <pageMargins left="0.7" right="0.7" top="0.75" bottom="0.7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9218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504825</xdr:colOff>
                <xdr:row>2</xdr:row>
                <xdr:rowOff>47625</xdr:rowOff>
              </to>
            </anchor>
          </objectPr>
        </oleObject>
      </mc:Choice>
      <mc:Fallback>
        <oleObject progId="MSPhotoEd.3" shapeId="9218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X49"/>
  <sheetViews>
    <sheetView workbookViewId="0">
      <selection activeCell="E28" sqref="E28"/>
    </sheetView>
  </sheetViews>
  <sheetFormatPr defaultRowHeight="12.75" x14ac:dyDescent="0.2"/>
  <cols>
    <col min="1" max="1" width="8.28515625" style="46" customWidth="1"/>
    <col min="2" max="2" width="16.28515625" style="46" customWidth="1"/>
    <col min="3" max="3" width="10.42578125" style="46" customWidth="1"/>
    <col min="4" max="4" width="18" style="46" customWidth="1"/>
    <col min="5" max="5" width="18.42578125" style="46" bestFit="1" customWidth="1"/>
    <col min="6" max="6" width="12.85546875" style="46" bestFit="1" customWidth="1"/>
    <col min="7" max="16384" width="9.140625" style="46"/>
  </cols>
  <sheetData>
    <row r="2" spans="1:24" x14ac:dyDescent="0.2">
      <c r="E2" s="65" t="s">
        <v>314</v>
      </c>
    </row>
    <row r="3" spans="1:24" x14ac:dyDescent="0.2">
      <c r="G3" s="57"/>
      <c r="K3" s="57"/>
    </row>
    <row r="7" spans="1:24" x14ac:dyDescent="0.2">
      <c r="A7" s="86">
        <v>1.1299999999999999</v>
      </c>
      <c r="B7" s="378" t="s">
        <v>303</v>
      </c>
      <c r="C7" s="378"/>
      <c r="D7" s="378"/>
      <c r="E7" s="378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x14ac:dyDescent="0.2">
      <c r="A8" s="66"/>
      <c r="B8" s="115"/>
      <c r="C8" s="115"/>
      <c r="D8" s="115"/>
      <c r="E8" s="115"/>
      <c r="F8" s="87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24" x14ac:dyDescent="0.2">
      <c r="B9" s="59"/>
      <c r="C9" s="113"/>
      <c r="D9" s="51"/>
      <c r="E9" s="51"/>
      <c r="F9" s="114"/>
      <c r="G9" s="51"/>
      <c r="H9" s="51"/>
      <c r="I9" s="51"/>
      <c r="J9" s="51"/>
      <c r="K9" s="51"/>
      <c r="L9" s="51"/>
      <c r="M9" s="51"/>
      <c r="N9" s="52"/>
      <c r="O9" s="51"/>
      <c r="P9" s="52"/>
      <c r="Q9" s="52"/>
      <c r="R9" s="52"/>
      <c r="S9" s="52"/>
      <c r="T9" s="52"/>
      <c r="U9" s="52"/>
      <c r="V9" s="52"/>
      <c r="W9" s="88"/>
      <c r="X9" s="83"/>
    </row>
    <row r="10" spans="1:24" x14ac:dyDescent="0.2">
      <c r="B10" s="119" t="s">
        <v>57</v>
      </c>
      <c r="C10" s="261"/>
      <c r="D10" s="262" t="s">
        <v>58</v>
      </c>
      <c r="E10" s="263" t="s">
        <v>46</v>
      </c>
      <c r="F10" s="264"/>
      <c r="G10" s="80"/>
      <c r="H10" s="79"/>
      <c r="I10" s="83"/>
    </row>
    <row r="11" spans="1:24" ht="14.25" x14ac:dyDescent="0.2">
      <c r="B11" s="265" t="s">
        <v>143</v>
      </c>
      <c r="C11" s="50"/>
      <c r="D11" s="50">
        <v>2010</v>
      </c>
      <c r="E11" s="266">
        <v>351461</v>
      </c>
      <c r="F11" s="60"/>
      <c r="G11" s="67"/>
      <c r="H11" s="83"/>
      <c r="I11" s="83"/>
    </row>
    <row r="12" spans="1:24" ht="14.25" x14ac:dyDescent="0.2">
      <c r="B12" s="265" t="s">
        <v>60</v>
      </c>
      <c r="C12" s="50"/>
      <c r="D12" s="50">
        <v>2010</v>
      </c>
      <c r="E12" s="266">
        <v>277821</v>
      </c>
      <c r="F12" s="267"/>
    </row>
    <row r="13" spans="1:24" ht="14.25" x14ac:dyDescent="0.2">
      <c r="B13" s="265" t="s">
        <v>59</v>
      </c>
      <c r="C13" s="50"/>
      <c r="D13" s="50">
        <v>2020</v>
      </c>
      <c r="E13" s="266">
        <v>397628</v>
      </c>
      <c r="F13" s="267"/>
    </row>
    <row r="14" spans="1:24" ht="14.25" x14ac:dyDescent="0.2">
      <c r="B14" s="265" t="s">
        <v>144</v>
      </c>
      <c r="C14" s="50"/>
      <c r="D14" s="50">
        <v>2011</v>
      </c>
      <c r="E14" s="266">
        <v>71293</v>
      </c>
      <c r="F14" s="267"/>
    </row>
    <row r="15" spans="1:24" ht="14.25" x14ac:dyDescent="0.2">
      <c r="B15" s="265" t="s">
        <v>145</v>
      </c>
      <c r="C15" s="50"/>
      <c r="D15" s="50">
        <v>2011</v>
      </c>
      <c r="E15" s="266">
        <v>105539</v>
      </c>
      <c r="F15" s="267"/>
    </row>
    <row r="16" spans="1:24" ht="14.25" x14ac:dyDescent="0.2">
      <c r="B16" s="265" t="s">
        <v>62</v>
      </c>
      <c r="C16" s="50"/>
      <c r="D16" s="50">
        <v>2012</v>
      </c>
      <c r="E16" s="266">
        <v>747884</v>
      </c>
      <c r="F16" s="267"/>
    </row>
    <row r="17" spans="1:24" ht="14.25" x14ac:dyDescent="0.2">
      <c r="B17" s="265" t="s">
        <v>63</v>
      </c>
      <c r="C17" s="50"/>
      <c r="D17" s="50">
        <v>2011</v>
      </c>
      <c r="E17" s="266">
        <v>2697983</v>
      </c>
      <c r="F17" s="267"/>
    </row>
    <row r="18" spans="1:24" ht="14.25" x14ac:dyDescent="0.2">
      <c r="A18" s="59"/>
      <c r="B18" s="265" t="s">
        <v>146</v>
      </c>
      <c r="C18" s="50"/>
      <c r="D18" s="50">
        <v>2001</v>
      </c>
      <c r="E18" s="266">
        <v>4491</v>
      </c>
      <c r="F18" s="267"/>
    </row>
    <row r="19" spans="1:24" ht="14.25" x14ac:dyDescent="0.2">
      <c r="A19" s="59"/>
      <c r="B19" s="265" t="s">
        <v>64</v>
      </c>
      <c r="C19" s="50"/>
      <c r="D19" s="50">
        <v>2018</v>
      </c>
      <c r="E19" s="266">
        <v>179667</v>
      </c>
      <c r="F19" s="267"/>
    </row>
    <row r="20" spans="1:24" ht="14.25" x14ac:dyDescent="0.2">
      <c r="B20" s="265" t="s">
        <v>147</v>
      </c>
      <c r="C20" s="50"/>
      <c r="D20" s="50">
        <v>2011</v>
      </c>
      <c r="E20" s="266">
        <v>47195</v>
      </c>
      <c r="F20" s="267"/>
    </row>
    <row r="21" spans="1:24" ht="14.25" x14ac:dyDescent="0.2">
      <c r="B21" s="265" t="s">
        <v>148</v>
      </c>
      <c r="C21" s="50"/>
      <c r="D21" s="50">
        <v>2012</v>
      </c>
      <c r="E21" s="266">
        <v>109991</v>
      </c>
      <c r="F21" s="59"/>
    </row>
    <row r="22" spans="1:24" ht="14.25" x14ac:dyDescent="0.2">
      <c r="B22" s="265" t="s">
        <v>65</v>
      </c>
      <c r="C22" s="268"/>
      <c r="D22" s="50">
        <v>2012</v>
      </c>
      <c r="E22" s="266">
        <v>541638</v>
      </c>
      <c r="F22" s="81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14.25" x14ac:dyDescent="0.2">
      <c r="B23" s="265" t="s">
        <v>149</v>
      </c>
      <c r="C23" s="268"/>
      <c r="D23" s="50">
        <v>2011</v>
      </c>
      <c r="E23" s="266">
        <v>1328019</v>
      </c>
      <c r="F23" s="81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ht="14.25" x14ac:dyDescent="0.2">
      <c r="B24" s="265" t="s">
        <v>150</v>
      </c>
      <c r="C24" s="50"/>
      <c r="D24" s="50">
        <v>2011</v>
      </c>
      <c r="E24" s="266">
        <v>15094</v>
      </c>
      <c r="F24" s="59"/>
    </row>
    <row r="25" spans="1:24" ht="14.25" x14ac:dyDescent="0.2">
      <c r="B25" s="265" t="s">
        <v>61</v>
      </c>
      <c r="C25" s="50"/>
      <c r="D25" s="50">
        <v>2016</v>
      </c>
      <c r="E25" s="266">
        <v>64237</v>
      </c>
      <c r="F25" s="59"/>
    </row>
    <row r="26" spans="1:24" ht="14.25" x14ac:dyDescent="0.2">
      <c r="B26" s="265" t="s">
        <v>151</v>
      </c>
      <c r="C26" s="50"/>
      <c r="D26" s="50">
        <v>2010</v>
      </c>
      <c r="E26" s="266">
        <v>28054</v>
      </c>
      <c r="F26" s="59"/>
    </row>
    <row r="27" spans="1:24" ht="14.25" x14ac:dyDescent="0.2">
      <c r="B27" s="265" t="s">
        <v>21</v>
      </c>
      <c r="C27" s="50"/>
      <c r="D27" s="50">
        <v>2021</v>
      </c>
      <c r="E27" s="266">
        <v>71105</v>
      </c>
      <c r="F27" s="59"/>
    </row>
    <row r="28" spans="1:24" ht="14.25" x14ac:dyDescent="0.2">
      <c r="B28" s="269" t="s">
        <v>152</v>
      </c>
      <c r="C28" s="270"/>
      <c r="D28" s="270">
        <v>2012</v>
      </c>
      <c r="E28" s="271">
        <v>31458</v>
      </c>
      <c r="F28" s="59"/>
    </row>
    <row r="29" spans="1:24" x14ac:dyDescent="0.2">
      <c r="B29" s="50"/>
      <c r="C29" s="50"/>
      <c r="D29" s="50"/>
      <c r="E29" s="50"/>
      <c r="F29" s="59"/>
    </row>
    <row r="30" spans="1:24" x14ac:dyDescent="0.2">
      <c r="B30" s="59" t="s">
        <v>153</v>
      </c>
      <c r="C30" s="59"/>
      <c r="D30" s="59"/>
      <c r="E30" s="59"/>
      <c r="F30" s="59"/>
    </row>
    <row r="48" spans="1:11" ht="12.75" customHeigh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7" x14ac:dyDescent="0.2">
      <c r="A49" s="116"/>
      <c r="B49" s="116"/>
      <c r="C49" s="116"/>
      <c r="D49" s="116"/>
      <c r="E49" s="116"/>
      <c r="F49" s="116"/>
      <c r="G49" s="116"/>
    </row>
  </sheetData>
  <mergeCells count="1">
    <mergeCell ref="B7:E7"/>
  </mergeCells>
  <pageMargins left="0.7" right="0.7" top="0.75" bottom="0.75" header="0.3" footer="0.3"/>
  <pageSetup scale="92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47625</xdr:rowOff>
              </from>
              <to>
                <xdr:col>1</xdr:col>
                <xdr:colOff>400050</xdr:colOff>
                <xdr:row>2</xdr:row>
                <xdr:rowOff>114300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2:Q57"/>
  <sheetViews>
    <sheetView topLeftCell="A10" workbookViewId="0">
      <selection activeCell="U36" sqref="U36"/>
    </sheetView>
  </sheetViews>
  <sheetFormatPr defaultRowHeight="12.75" x14ac:dyDescent="0.2"/>
  <cols>
    <col min="1" max="1" width="7.7109375" style="44" customWidth="1"/>
    <col min="2" max="2" width="15.140625" style="44" customWidth="1"/>
    <col min="3" max="14" width="9.140625" style="44"/>
    <col min="15" max="15" width="12.85546875" style="44" customWidth="1"/>
    <col min="16" max="16" width="11.28515625" style="44" bestFit="1" customWidth="1"/>
    <col min="17" max="17" width="10.7109375" style="44" bestFit="1" customWidth="1"/>
    <col min="18" max="220" width="9.140625" style="44"/>
    <col min="221" max="221" width="7.7109375" style="44" customWidth="1"/>
    <col min="222" max="222" width="15.140625" style="44" customWidth="1"/>
    <col min="223" max="223" width="10" style="44" customWidth="1"/>
    <col min="224" max="224" width="8.42578125" style="44" customWidth="1"/>
    <col min="225" max="225" width="10.140625" style="44" customWidth="1"/>
    <col min="226" max="226" width="10" style="44" customWidth="1"/>
    <col min="227" max="227" width="8.42578125" style="44" customWidth="1"/>
    <col min="228" max="228" width="10.140625" style="44" customWidth="1"/>
    <col min="229" max="229" width="10" style="44" customWidth="1"/>
    <col min="230" max="230" width="8.42578125" style="44" customWidth="1"/>
    <col min="231" max="231" width="10.140625" style="44" customWidth="1"/>
    <col min="232" max="232" width="10" style="44" customWidth="1"/>
    <col min="233" max="233" width="8.42578125" style="44" customWidth="1"/>
    <col min="234" max="234" width="10.140625" style="44" customWidth="1"/>
    <col min="235" max="235" width="8.28515625" style="44" customWidth="1"/>
    <col min="236" max="236" width="7.7109375" style="44" customWidth="1"/>
    <col min="237" max="476" width="9.140625" style="44"/>
    <col min="477" max="477" width="7.7109375" style="44" customWidth="1"/>
    <col min="478" max="478" width="15.140625" style="44" customWidth="1"/>
    <col min="479" max="479" width="10" style="44" customWidth="1"/>
    <col min="480" max="480" width="8.42578125" style="44" customWidth="1"/>
    <col min="481" max="481" width="10.140625" style="44" customWidth="1"/>
    <col min="482" max="482" width="10" style="44" customWidth="1"/>
    <col min="483" max="483" width="8.42578125" style="44" customWidth="1"/>
    <col min="484" max="484" width="10.140625" style="44" customWidth="1"/>
    <col min="485" max="485" width="10" style="44" customWidth="1"/>
    <col min="486" max="486" width="8.42578125" style="44" customWidth="1"/>
    <col min="487" max="487" width="10.140625" style="44" customWidth="1"/>
    <col min="488" max="488" width="10" style="44" customWidth="1"/>
    <col min="489" max="489" width="8.42578125" style="44" customWidth="1"/>
    <col min="490" max="490" width="10.140625" style="44" customWidth="1"/>
    <col min="491" max="491" width="8.28515625" style="44" customWidth="1"/>
    <col min="492" max="492" width="7.7109375" style="44" customWidth="1"/>
    <col min="493" max="732" width="9.140625" style="44"/>
    <col min="733" max="733" width="7.7109375" style="44" customWidth="1"/>
    <col min="734" max="734" width="15.140625" style="44" customWidth="1"/>
    <col min="735" max="735" width="10" style="44" customWidth="1"/>
    <col min="736" max="736" width="8.42578125" style="44" customWidth="1"/>
    <col min="737" max="737" width="10.140625" style="44" customWidth="1"/>
    <col min="738" max="738" width="10" style="44" customWidth="1"/>
    <col min="739" max="739" width="8.42578125" style="44" customWidth="1"/>
    <col min="740" max="740" width="10.140625" style="44" customWidth="1"/>
    <col min="741" max="741" width="10" style="44" customWidth="1"/>
    <col min="742" max="742" width="8.42578125" style="44" customWidth="1"/>
    <col min="743" max="743" width="10.140625" style="44" customWidth="1"/>
    <col min="744" max="744" width="10" style="44" customWidth="1"/>
    <col min="745" max="745" width="8.42578125" style="44" customWidth="1"/>
    <col min="746" max="746" width="10.140625" style="44" customWidth="1"/>
    <col min="747" max="747" width="8.28515625" style="44" customWidth="1"/>
    <col min="748" max="748" width="7.7109375" style="44" customWidth="1"/>
    <col min="749" max="988" width="9.140625" style="44"/>
    <col min="989" max="989" width="7.7109375" style="44" customWidth="1"/>
    <col min="990" max="990" width="15.140625" style="44" customWidth="1"/>
    <col min="991" max="991" width="10" style="44" customWidth="1"/>
    <col min="992" max="992" width="8.42578125" style="44" customWidth="1"/>
    <col min="993" max="993" width="10.140625" style="44" customWidth="1"/>
    <col min="994" max="994" width="10" style="44" customWidth="1"/>
    <col min="995" max="995" width="8.42578125" style="44" customWidth="1"/>
    <col min="996" max="996" width="10.140625" style="44" customWidth="1"/>
    <col min="997" max="997" width="10" style="44" customWidth="1"/>
    <col min="998" max="998" width="8.42578125" style="44" customWidth="1"/>
    <col min="999" max="999" width="10.140625" style="44" customWidth="1"/>
    <col min="1000" max="1000" width="10" style="44" customWidth="1"/>
    <col min="1001" max="1001" width="8.42578125" style="44" customWidth="1"/>
    <col min="1002" max="1002" width="10.140625" style="44" customWidth="1"/>
    <col min="1003" max="1003" width="8.28515625" style="44" customWidth="1"/>
    <col min="1004" max="1004" width="7.7109375" style="44" customWidth="1"/>
    <col min="1005" max="1244" width="9.140625" style="44"/>
    <col min="1245" max="1245" width="7.7109375" style="44" customWidth="1"/>
    <col min="1246" max="1246" width="15.140625" style="44" customWidth="1"/>
    <col min="1247" max="1247" width="10" style="44" customWidth="1"/>
    <col min="1248" max="1248" width="8.42578125" style="44" customWidth="1"/>
    <col min="1249" max="1249" width="10.140625" style="44" customWidth="1"/>
    <col min="1250" max="1250" width="10" style="44" customWidth="1"/>
    <col min="1251" max="1251" width="8.42578125" style="44" customWidth="1"/>
    <col min="1252" max="1252" width="10.140625" style="44" customWidth="1"/>
    <col min="1253" max="1253" width="10" style="44" customWidth="1"/>
    <col min="1254" max="1254" width="8.42578125" style="44" customWidth="1"/>
    <col min="1255" max="1255" width="10.140625" style="44" customWidth="1"/>
    <col min="1256" max="1256" width="10" style="44" customWidth="1"/>
    <col min="1257" max="1257" width="8.42578125" style="44" customWidth="1"/>
    <col min="1258" max="1258" width="10.140625" style="44" customWidth="1"/>
    <col min="1259" max="1259" width="8.28515625" style="44" customWidth="1"/>
    <col min="1260" max="1260" width="7.7109375" style="44" customWidth="1"/>
    <col min="1261" max="1500" width="9.140625" style="44"/>
    <col min="1501" max="1501" width="7.7109375" style="44" customWidth="1"/>
    <col min="1502" max="1502" width="15.140625" style="44" customWidth="1"/>
    <col min="1503" max="1503" width="10" style="44" customWidth="1"/>
    <col min="1504" max="1504" width="8.42578125" style="44" customWidth="1"/>
    <col min="1505" max="1505" width="10.140625" style="44" customWidth="1"/>
    <col min="1506" max="1506" width="10" style="44" customWidth="1"/>
    <col min="1507" max="1507" width="8.42578125" style="44" customWidth="1"/>
    <col min="1508" max="1508" width="10.140625" style="44" customWidth="1"/>
    <col min="1509" max="1509" width="10" style="44" customWidth="1"/>
    <col min="1510" max="1510" width="8.42578125" style="44" customWidth="1"/>
    <col min="1511" max="1511" width="10.140625" style="44" customWidth="1"/>
    <col min="1512" max="1512" width="10" style="44" customWidth="1"/>
    <col min="1513" max="1513" width="8.42578125" style="44" customWidth="1"/>
    <col min="1514" max="1514" width="10.140625" style="44" customWidth="1"/>
    <col min="1515" max="1515" width="8.28515625" style="44" customWidth="1"/>
    <col min="1516" max="1516" width="7.7109375" style="44" customWidth="1"/>
    <col min="1517" max="1756" width="9.140625" style="44"/>
    <col min="1757" max="1757" width="7.7109375" style="44" customWidth="1"/>
    <col min="1758" max="1758" width="15.140625" style="44" customWidth="1"/>
    <col min="1759" max="1759" width="10" style="44" customWidth="1"/>
    <col min="1760" max="1760" width="8.42578125" style="44" customWidth="1"/>
    <col min="1761" max="1761" width="10.140625" style="44" customWidth="1"/>
    <col min="1762" max="1762" width="10" style="44" customWidth="1"/>
    <col min="1763" max="1763" width="8.42578125" style="44" customWidth="1"/>
    <col min="1764" max="1764" width="10.140625" style="44" customWidth="1"/>
    <col min="1765" max="1765" width="10" style="44" customWidth="1"/>
    <col min="1766" max="1766" width="8.42578125" style="44" customWidth="1"/>
    <col min="1767" max="1767" width="10.140625" style="44" customWidth="1"/>
    <col min="1768" max="1768" width="10" style="44" customWidth="1"/>
    <col min="1769" max="1769" width="8.42578125" style="44" customWidth="1"/>
    <col min="1770" max="1770" width="10.140625" style="44" customWidth="1"/>
    <col min="1771" max="1771" width="8.28515625" style="44" customWidth="1"/>
    <col min="1772" max="1772" width="7.7109375" style="44" customWidth="1"/>
    <col min="1773" max="2012" width="9.140625" style="44"/>
    <col min="2013" max="2013" width="7.7109375" style="44" customWidth="1"/>
    <col min="2014" max="2014" width="15.140625" style="44" customWidth="1"/>
    <col min="2015" max="2015" width="10" style="44" customWidth="1"/>
    <col min="2016" max="2016" width="8.42578125" style="44" customWidth="1"/>
    <col min="2017" max="2017" width="10.140625" style="44" customWidth="1"/>
    <col min="2018" max="2018" width="10" style="44" customWidth="1"/>
    <col min="2019" max="2019" width="8.42578125" style="44" customWidth="1"/>
    <col min="2020" max="2020" width="10.140625" style="44" customWidth="1"/>
    <col min="2021" max="2021" width="10" style="44" customWidth="1"/>
    <col min="2022" max="2022" width="8.42578125" style="44" customWidth="1"/>
    <col min="2023" max="2023" width="10.140625" style="44" customWidth="1"/>
    <col min="2024" max="2024" width="10" style="44" customWidth="1"/>
    <col min="2025" max="2025" width="8.42578125" style="44" customWidth="1"/>
    <col min="2026" max="2026" width="10.140625" style="44" customWidth="1"/>
    <col min="2027" max="2027" width="8.28515625" style="44" customWidth="1"/>
    <col min="2028" max="2028" width="7.7109375" style="44" customWidth="1"/>
    <col min="2029" max="2268" width="9.140625" style="44"/>
    <col min="2269" max="2269" width="7.7109375" style="44" customWidth="1"/>
    <col min="2270" max="2270" width="15.140625" style="44" customWidth="1"/>
    <col min="2271" max="2271" width="10" style="44" customWidth="1"/>
    <col min="2272" max="2272" width="8.42578125" style="44" customWidth="1"/>
    <col min="2273" max="2273" width="10.140625" style="44" customWidth="1"/>
    <col min="2274" max="2274" width="10" style="44" customWidth="1"/>
    <col min="2275" max="2275" width="8.42578125" style="44" customWidth="1"/>
    <col min="2276" max="2276" width="10.140625" style="44" customWidth="1"/>
    <col min="2277" max="2277" width="10" style="44" customWidth="1"/>
    <col min="2278" max="2278" width="8.42578125" style="44" customWidth="1"/>
    <col min="2279" max="2279" width="10.140625" style="44" customWidth="1"/>
    <col min="2280" max="2280" width="10" style="44" customWidth="1"/>
    <col min="2281" max="2281" width="8.42578125" style="44" customWidth="1"/>
    <col min="2282" max="2282" width="10.140625" style="44" customWidth="1"/>
    <col min="2283" max="2283" width="8.28515625" style="44" customWidth="1"/>
    <col min="2284" max="2284" width="7.7109375" style="44" customWidth="1"/>
    <col min="2285" max="2524" width="9.140625" style="44"/>
    <col min="2525" max="2525" width="7.7109375" style="44" customWidth="1"/>
    <col min="2526" max="2526" width="15.140625" style="44" customWidth="1"/>
    <col min="2527" max="2527" width="10" style="44" customWidth="1"/>
    <col min="2528" max="2528" width="8.42578125" style="44" customWidth="1"/>
    <col min="2529" max="2529" width="10.140625" style="44" customWidth="1"/>
    <col min="2530" max="2530" width="10" style="44" customWidth="1"/>
    <col min="2531" max="2531" width="8.42578125" style="44" customWidth="1"/>
    <col min="2532" max="2532" width="10.140625" style="44" customWidth="1"/>
    <col min="2533" max="2533" width="10" style="44" customWidth="1"/>
    <col min="2534" max="2534" width="8.42578125" style="44" customWidth="1"/>
    <col min="2535" max="2535" width="10.140625" style="44" customWidth="1"/>
    <col min="2536" max="2536" width="10" style="44" customWidth="1"/>
    <col min="2537" max="2537" width="8.42578125" style="44" customWidth="1"/>
    <col min="2538" max="2538" width="10.140625" style="44" customWidth="1"/>
    <col min="2539" max="2539" width="8.28515625" style="44" customWidth="1"/>
    <col min="2540" max="2540" width="7.7109375" style="44" customWidth="1"/>
    <col min="2541" max="2780" width="9.140625" style="44"/>
    <col min="2781" max="2781" width="7.7109375" style="44" customWidth="1"/>
    <col min="2782" max="2782" width="15.140625" style="44" customWidth="1"/>
    <col min="2783" max="2783" width="10" style="44" customWidth="1"/>
    <col min="2784" max="2784" width="8.42578125" style="44" customWidth="1"/>
    <col min="2785" max="2785" width="10.140625" style="44" customWidth="1"/>
    <col min="2786" max="2786" width="10" style="44" customWidth="1"/>
    <col min="2787" max="2787" width="8.42578125" style="44" customWidth="1"/>
    <col min="2788" max="2788" width="10.140625" style="44" customWidth="1"/>
    <col min="2789" max="2789" width="10" style="44" customWidth="1"/>
    <col min="2790" max="2790" width="8.42578125" style="44" customWidth="1"/>
    <col min="2791" max="2791" width="10.140625" style="44" customWidth="1"/>
    <col min="2792" max="2792" width="10" style="44" customWidth="1"/>
    <col min="2793" max="2793" width="8.42578125" style="44" customWidth="1"/>
    <col min="2794" max="2794" width="10.140625" style="44" customWidth="1"/>
    <col min="2795" max="2795" width="8.28515625" style="44" customWidth="1"/>
    <col min="2796" max="2796" width="7.7109375" style="44" customWidth="1"/>
    <col min="2797" max="3036" width="9.140625" style="44"/>
    <col min="3037" max="3037" width="7.7109375" style="44" customWidth="1"/>
    <col min="3038" max="3038" width="15.140625" style="44" customWidth="1"/>
    <col min="3039" max="3039" width="10" style="44" customWidth="1"/>
    <col min="3040" max="3040" width="8.42578125" style="44" customWidth="1"/>
    <col min="3041" max="3041" width="10.140625" style="44" customWidth="1"/>
    <col min="3042" max="3042" width="10" style="44" customWidth="1"/>
    <col min="3043" max="3043" width="8.42578125" style="44" customWidth="1"/>
    <col min="3044" max="3044" width="10.140625" style="44" customWidth="1"/>
    <col min="3045" max="3045" width="10" style="44" customWidth="1"/>
    <col min="3046" max="3046" width="8.42578125" style="44" customWidth="1"/>
    <col min="3047" max="3047" width="10.140625" style="44" customWidth="1"/>
    <col min="3048" max="3048" width="10" style="44" customWidth="1"/>
    <col min="3049" max="3049" width="8.42578125" style="44" customWidth="1"/>
    <col min="3050" max="3050" width="10.140625" style="44" customWidth="1"/>
    <col min="3051" max="3051" width="8.28515625" style="44" customWidth="1"/>
    <col min="3052" max="3052" width="7.7109375" style="44" customWidth="1"/>
    <col min="3053" max="3292" width="9.140625" style="44"/>
    <col min="3293" max="3293" width="7.7109375" style="44" customWidth="1"/>
    <col min="3294" max="3294" width="15.140625" style="44" customWidth="1"/>
    <col min="3295" max="3295" width="10" style="44" customWidth="1"/>
    <col min="3296" max="3296" width="8.42578125" style="44" customWidth="1"/>
    <col min="3297" max="3297" width="10.140625" style="44" customWidth="1"/>
    <col min="3298" max="3298" width="10" style="44" customWidth="1"/>
    <col min="3299" max="3299" width="8.42578125" style="44" customWidth="1"/>
    <col min="3300" max="3300" width="10.140625" style="44" customWidth="1"/>
    <col min="3301" max="3301" width="10" style="44" customWidth="1"/>
    <col min="3302" max="3302" width="8.42578125" style="44" customWidth="1"/>
    <col min="3303" max="3303" width="10.140625" style="44" customWidth="1"/>
    <col min="3304" max="3304" width="10" style="44" customWidth="1"/>
    <col min="3305" max="3305" width="8.42578125" style="44" customWidth="1"/>
    <col min="3306" max="3306" width="10.140625" style="44" customWidth="1"/>
    <col min="3307" max="3307" width="8.28515625" style="44" customWidth="1"/>
    <col min="3308" max="3308" width="7.7109375" style="44" customWidth="1"/>
    <col min="3309" max="3548" width="9.140625" style="44"/>
    <col min="3549" max="3549" width="7.7109375" style="44" customWidth="1"/>
    <col min="3550" max="3550" width="15.140625" style="44" customWidth="1"/>
    <col min="3551" max="3551" width="10" style="44" customWidth="1"/>
    <col min="3552" max="3552" width="8.42578125" style="44" customWidth="1"/>
    <col min="3553" max="3553" width="10.140625" style="44" customWidth="1"/>
    <col min="3554" max="3554" width="10" style="44" customWidth="1"/>
    <col min="3555" max="3555" width="8.42578125" style="44" customWidth="1"/>
    <col min="3556" max="3556" width="10.140625" style="44" customWidth="1"/>
    <col min="3557" max="3557" width="10" style="44" customWidth="1"/>
    <col min="3558" max="3558" width="8.42578125" style="44" customWidth="1"/>
    <col min="3559" max="3559" width="10.140625" style="44" customWidth="1"/>
    <col min="3560" max="3560" width="10" style="44" customWidth="1"/>
    <col min="3561" max="3561" width="8.42578125" style="44" customWidth="1"/>
    <col min="3562" max="3562" width="10.140625" style="44" customWidth="1"/>
    <col min="3563" max="3563" width="8.28515625" style="44" customWidth="1"/>
    <col min="3564" max="3564" width="7.7109375" style="44" customWidth="1"/>
    <col min="3565" max="3804" width="9.140625" style="44"/>
    <col min="3805" max="3805" width="7.7109375" style="44" customWidth="1"/>
    <col min="3806" max="3806" width="15.140625" style="44" customWidth="1"/>
    <col min="3807" max="3807" width="10" style="44" customWidth="1"/>
    <col min="3808" max="3808" width="8.42578125" style="44" customWidth="1"/>
    <col min="3809" max="3809" width="10.140625" style="44" customWidth="1"/>
    <col min="3810" max="3810" width="10" style="44" customWidth="1"/>
    <col min="3811" max="3811" width="8.42578125" style="44" customWidth="1"/>
    <col min="3812" max="3812" width="10.140625" style="44" customWidth="1"/>
    <col min="3813" max="3813" width="10" style="44" customWidth="1"/>
    <col min="3814" max="3814" width="8.42578125" style="44" customWidth="1"/>
    <col min="3815" max="3815" width="10.140625" style="44" customWidth="1"/>
    <col min="3816" max="3816" width="10" style="44" customWidth="1"/>
    <col min="3817" max="3817" width="8.42578125" style="44" customWidth="1"/>
    <col min="3818" max="3818" width="10.140625" style="44" customWidth="1"/>
    <col min="3819" max="3819" width="8.28515625" style="44" customWidth="1"/>
    <col min="3820" max="3820" width="7.7109375" style="44" customWidth="1"/>
    <col min="3821" max="4060" width="9.140625" style="44"/>
    <col min="4061" max="4061" width="7.7109375" style="44" customWidth="1"/>
    <col min="4062" max="4062" width="15.140625" style="44" customWidth="1"/>
    <col min="4063" max="4063" width="10" style="44" customWidth="1"/>
    <col min="4064" max="4064" width="8.42578125" style="44" customWidth="1"/>
    <col min="4065" max="4065" width="10.140625" style="44" customWidth="1"/>
    <col min="4066" max="4066" width="10" style="44" customWidth="1"/>
    <col min="4067" max="4067" width="8.42578125" style="44" customWidth="1"/>
    <col min="4068" max="4068" width="10.140625" style="44" customWidth="1"/>
    <col min="4069" max="4069" width="10" style="44" customWidth="1"/>
    <col min="4070" max="4070" width="8.42578125" style="44" customWidth="1"/>
    <col min="4071" max="4071" width="10.140625" style="44" customWidth="1"/>
    <col min="4072" max="4072" width="10" style="44" customWidth="1"/>
    <col min="4073" max="4073" width="8.42578125" style="44" customWidth="1"/>
    <col min="4074" max="4074" width="10.140625" style="44" customWidth="1"/>
    <col min="4075" max="4075" width="8.28515625" style="44" customWidth="1"/>
    <col min="4076" max="4076" width="7.7109375" style="44" customWidth="1"/>
    <col min="4077" max="4316" width="9.140625" style="44"/>
    <col min="4317" max="4317" width="7.7109375" style="44" customWidth="1"/>
    <col min="4318" max="4318" width="15.140625" style="44" customWidth="1"/>
    <col min="4319" max="4319" width="10" style="44" customWidth="1"/>
    <col min="4320" max="4320" width="8.42578125" style="44" customWidth="1"/>
    <col min="4321" max="4321" width="10.140625" style="44" customWidth="1"/>
    <col min="4322" max="4322" width="10" style="44" customWidth="1"/>
    <col min="4323" max="4323" width="8.42578125" style="44" customWidth="1"/>
    <col min="4324" max="4324" width="10.140625" style="44" customWidth="1"/>
    <col min="4325" max="4325" width="10" style="44" customWidth="1"/>
    <col min="4326" max="4326" width="8.42578125" style="44" customWidth="1"/>
    <col min="4327" max="4327" width="10.140625" style="44" customWidth="1"/>
    <col min="4328" max="4328" width="10" style="44" customWidth="1"/>
    <col min="4329" max="4329" width="8.42578125" style="44" customWidth="1"/>
    <col min="4330" max="4330" width="10.140625" style="44" customWidth="1"/>
    <col min="4331" max="4331" width="8.28515625" style="44" customWidth="1"/>
    <col min="4332" max="4332" width="7.7109375" style="44" customWidth="1"/>
    <col min="4333" max="4572" width="9.140625" style="44"/>
    <col min="4573" max="4573" width="7.7109375" style="44" customWidth="1"/>
    <col min="4574" max="4574" width="15.140625" style="44" customWidth="1"/>
    <col min="4575" max="4575" width="10" style="44" customWidth="1"/>
    <col min="4576" max="4576" width="8.42578125" style="44" customWidth="1"/>
    <col min="4577" max="4577" width="10.140625" style="44" customWidth="1"/>
    <col min="4578" max="4578" width="10" style="44" customWidth="1"/>
    <col min="4579" max="4579" width="8.42578125" style="44" customWidth="1"/>
    <col min="4580" max="4580" width="10.140625" style="44" customWidth="1"/>
    <col min="4581" max="4581" width="10" style="44" customWidth="1"/>
    <col min="4582" max="4582" width="8.42578125" style="44" customWidth="1"/>
    <col min="4583" max="4583" width="10.140625" style="44" customWidth="1"/>
    <col min="4584" max="4584" width="10" style="44" customWidth="1"/>
    <col min="4585" max="4585" width="8.42578125" style="44" customWidth="1"/>
    <col min="4586" max="4586" width="10.140625" style="44" customWidth="1"/>
    <col min="4587" max="4587" width="8.28515625" style="44" customWidth="1"/>
    <col min="4588" max="4588" width="7.7109375" style="44" customWidth="1"/>
    <col min="4589" max="4828" width="9.140625" style="44"/>
    <col min="4829" max="4829" width="7.7109375" style="44" customWidth="1"/>
    <col min="4830" max="4830" width="15.140625" style="44" customWidth="1"/>
    <col min="4831" max="4831" width="10" style="44" customWidth="1"/>
    <col min="4832" max="4832" width="8.42578125" style="44" customWidth="1"/>
    <col min="4833" max="4833" width="10.140625" style="44" customWidth="1"/>
    <col min="4834" max="4834" width="10" style="44" customWidth="1"/>
    <col min="4835" max="4835" width="8.42578125" style="44" customWidth="1"/>
    <col min="4836" max="4836" width="10.140625" style="44" customWidth="1"/>
    <col min="4837" max="4837" width="10" style="44" customWidth="1"/>
    <col min="4838" max="4838" width="8.42578125" style="44" customWidth="1"/>
    <col min="4839" max="4839" width="10.140625" style="44" customWidth="1"/>
    <col min="4840" max="4840" width="10" style="44" customWidth="1"/>
    <col min="4841" max="4841" width="8.42578125" style="44" customWidth="1"/>
    <col min="4842" max="4842" width="10.140625" style="44" customWidth="1"/>
    <col min="4843" max="4843" width="8.28515625" style="44" customWidth="1"/>
    <col min="4844" max="4844" width="7.7109375" style="44" customWidth="1"/>
    <col min="4845" max="5084" width="9.140625" style="44"/>
    <col min="5085" max="5085" width="7.7109375" style="44" customWidth="1"/>
    <col min="5086" max="5086" width="15.140625" style="44" customWidth="1"/>
    <col min="5087" max="5087" width="10" style="44" customWidth="1"/>
    <col min="5088" max="5088" width="8.42578125" style="44" customWidth="1"/>
    <col min="5089" max="5089" width="10.140625" style="44" customWidth="1"/>
    <col min="5090" max="5090" width="10" style="44" customWidth="1"/>
    <col min="5091" max="5091" width="8.42578125" style="44" customWidth="1"/>
    <col min="5092" max="5092" width="10.140625" style="44" customWidth="1"/>
    <col min="5093" max="5093" width="10" style="44" customWidth="1"/>
    <col min="5094" max="5094" width="8.42578125" style="44" customWidth="1"/>
    <col min="5095" max="5095" width="10.140625" style="44" customWidth="1"/>
    <col min="5096" max="5096" width="10" style="44" customWidth="1"/>
    <col min="5097" max="5097" width="8.42578125" style="44" customWidth="1"/>
    <col min="5098" max="5098" width="10.140625" style="44" customWidth="1"/>
    <col min="5099" max="5099" width="8.28515625" style="44" customWidth="1"/>
    <col min="5100" max="5100" width="7.7109375" style="44" customWidth="1"/>
    <col min="5101" max="5340" width="9.140625" style="44"/>
    <col min="5341" max="5341" width="7.7109375" style="44" customWidth="1"/>
    <col min="5342" max="5342" width="15.140625" style="44" customWidth="1"/>
    <col min="5343" max="5343" width="10" style="44" customWidth="1"/>
    <col min="5344" max="5344" width="8.42578125" style="44" customWidth="1"/>
    <col min="5345" max="5345" width="10.140625" style="44" customWidth="1"/>
    <col min="5346" max="5346" width="10" style="44" customWidth="1"/>
    <col min="5347" max="5347" width="8.42578125" style="44" customWidth="1"/>
    <col min="5348" max="5348" width="10.140625" style="44" customWidth="1"/>
    <col min="5349" max="5349" width="10" style="44" customWidth="1"/>
    <col min="5350" max="5350" width="8.42578125" style="44" customWidth="1"/>
    <col min="5351" max="5351" width="10.140625" style="44" customWidth="1"/>
    <col min="5352" max="5352" width="10" style="44" customWidth="1"/>
    <col min="5353" max="5353" width="8.42578125" style="44" customWidth="1"/>
    <col min="5354" max="5354" width="10.140625" style="44" customWidth="1"/>
    <col min="5355" max="5355" width="8.28515625" style="44" customWidth="1"/>
    <col min="5356" max="5356" width="7.7109375" style="44" customWidth="1"/>
    <col min="5357" max="5596" width="9.140625" style="44"/>
    <col min="5597" max="5597" width="7.7109375" style="44" customWidth="1"/>
    <col min="5598" max="5598" width="15.140625" style="44" customWidth="1"/>
    <col min="5599" max="5599" width="10" style="44" customWidth="1"/>
    <col min="5600" max="5600" width="8.42578125" style="44" customWidth="1"/>
    <col min="5601" max="5601" width="10.140625" style="44" customWidth="1"/>
    <col min="5602" max="5602" width="10" style="44" customWidth="1"/>
    <col min="5603" max="5603" width="8.42578125" style="44" customWidth="1"/>
    <col min="5604" max="5604" width="10.140625" style="44" customWidth="1"/>
    <col min="5605" max="5605" width="10" style="44" customWidth="1"/>
    <col min="5606" max="5606" width="8.42578125" style="44" customWidth="1"/>
    <col min="5607" max="5607" width="10.140625" style="44" customWidth="1"/>
    <col min="5608" max="5608" width="10" style="44" customWidth="1"/>
    <col min="5609" max="5609" width="8.42578125" style="44" customWidth="1"/>
    <col min="5610" max="5610" width="10.140625" style="44" customWidth="1"/>
    <col min="5611" max="5611" width="8.28515625" style="44" customWidth="1"/>
    <col min="5612" max="5612" width="7.7109375" style="44" customWidth="1"/>
    <col min="5613" max="5852" width="9.140625" style="44"/>
    <col min="5853" max="5853" width="7.7109375" style="44" customWidth="1"/>
    <col min="5854" max="5854" width="15.140625" style="44" customWidth="1"/>
    <col min="5855" max="5855" width="10" style="44" customWidth="1"/>
    <col min="5856" max="5856" width="8.42578125" style="44" customWidth="1"/>
    <col min="5857" max="5857" width="10.140625" style="44" customWidth="1"/>
    <col min="5858" max="5858" width="10" style="44" customWidth="1"/>
    <col min="5859" max="5859" width="8.42578125" style="44" customWidth="1"/>
    <col min="5860" max="5860" width="10.140625" style="44" customWidth="1"/>
    <col min="5861" max="5861" width="10" style="44" customWidth="1"/>
    <col min="5862" max="5862" width="8.42578125" style="44" customWidth="1"/>
    <col min="5863" max="5863" width="10.140625" style="44" customWidth="1"/>
    <col min="5864" max="5864" width="10" style="44" customWidth="1"/>
    <col min="5865" max="5865" width="8.42578125" style="44" customWidth="1"/>
    <col min="5866" max="5866" width="10.140625" style="44" customWidth="1"/>
    <col min="5867" max="5867" width="8.28515625" style="44" customWidth="1"/>
    <col min="5868" max="5868" width="7.7109375" style="44" customWidth="1"/>
    <col min="5869" max="6108" width="9.140625" style="44"/>
    <col min="6109" max="6109" width="7.7109375" style="44" customWidth="1"/>
    <col min="6110" max="6110" width="15.140625" style="44" customWidth="1"/>
    <col min="6111" max="6111" width="10" style="44" customWidth="1"/>
    <col min="6112" max="6112" width="8.42578125" style="44" customWidth="1"/>
    <col min="6113" max="6113" width="10.140625" style="44" customWidth="1"/>
    <col min="6114" max="6114" width="10" style="44" customWidth="1"/>
    <col min="6115" max="6115" width="8.42578125" style="44" customWidth="1"/>
    <col min="6116" max="6116" width="10.140625" style="44" customWidth="1"/>
    <col min="6117" max="6117" width="10" style="44" customWidth="1"/>
    <col min="6118" max="6118" width="8.42578125" style="44" customWidth="1"/>
    <col min="6119" max="6119" width="10.140625" style="44" customWidth="1"/>
    <col min="6120" max="6120" width="10" style="44" customWidth="1"/>
    <col min="6121" max="6121" width="8.42578125" style="44" customWidth="1"/>
    <col min="6122" max="6122" width="10.140625" style="44" customWidth="1"/>
    <col min="6123" max="6123" width="8.28515625" style="44" customWidth="1"/>
    <col min="6124" max="6124" width="7.7109375" style="44" customWidth="1"/>
    <col min="6125" max="6364" width="9.140625" style="44"/>
    <col min="6365" max="6365" width="7.7109375" style="44" customWidth="1"/>
    <col min="6366" max="6366" width="15.140625" style="44" customWidth="1"/>
    <col min="6367" max="6367" width="10" style="44" customWidth="1"/>
    <col min="6368" max="6368" width="8.42578125" style="44" customWidth="1"/>
    <col min="6369" max="6369" width="10.140625" style="44" customWidth="1"/>
    <col min="6370" max="6370" width="10" style="44" customWidth="1"/>
    <col min="6371" max="6371" width="8.42578125" style="44" customWidth="1"/>
    <col min="6372" max="6372" width="10.140625" style="44" customWidth="1"/>
    <col min="6373" max="6373" width="10" style="44" customWidth="1"/>
    <col min="6374" max="6374" width="8.42578125" style="44" customWidth="1"/>
    <col min="6375" max="6375" width="10.140625" style="44" customWidth="1"/>
    <col min="6376" max="6376" width="10" style="44" customWidth="1"/>
    <col min="6377" max="6377" width="8.42578125" style="44" customWidth="1"/>
    <col min="6378" max="6378" width="10.140625" style="44" customWidth="1"/>
    <col min="6379" max="6379" width="8.28515625" style="44" customWidth="1"/>
    <col min="6380" max="6380" width="7.7109375" style="44" customWidth="1"/>
    <col min="6381" max="6620" width="9.140625" style="44"/>
    <col min="6621" max="6621" width="7.7109375" style="44" customWidth="1"/>
    <col min="6622" max="6622" width="15.140625" style="44" customWidth="1"/>
    <col min="6623" max="6623" width="10" style="44" customWidth="1"/>
    <col min="6624" max="6624" width="8.42578125" style="44" customWidth="1"/>
    <col min="6625" max="6625" width="10.140625" style="44" customWidth="1"/>
    <col min="6626" max="6626" width="10" style="44" customWidth="1"/>
    <col min="6627" max="6627" width="8.42578125" style="44" customWidth="1"/>
    <col min="6628" max="6628" width="10.140625" style="44" customWidth="1"/>
    <col min="6629" max="6629" width="10" style="44" customWidth="1"/>
    <col min="6630" max="6630" width="8.42578125" style="44" customWidth="1"/>
    <col min="6631" max="6631" width="10.140625" style="44" customWidth="1"/>
    <col min="6632" max="6632" width="10" style="44" customWidth="1"/>
    <col min="6633" max="6633" width="8.42578125" style="44" customWidth="1"/>
    <col min="6634" max="6634" width="10.140625" style="44" customWidth="1"/>
    <col min="6635" max="6635" width="8.28515625" style="44" customWidth="1"/>
    <col min="6636" max="6636" width="7.7109375" style="44" customWidth="1"/>
    <col min="6637" max="6876" width="9.140625" style="44"/>
    <col min="6877" max="6877" width="7.7109375" style="44" customWidth="1"/>
    <col min="6878" max="6878" width="15.140625" style="44" customWidth="1"/>
    <col min="6879" max="6879" width="10" style="44" customWidth="1"/>
    <col min="6880" max="6880" width="8.42578125" style="44" customWidth="1"/>
    <col min="6881" max="6881" width="10.140625" style="44" customWidth="1"/>
    <col min="6882" max="6882" width="10" style="44" customWidth="1"/>
    <col min="6883" max="6883" width="8.42578125" style="44" customWidth="1"/>
    <col min="6884" max="6884" width="10.140625" style="44" customWidth="1"/>
    <col min="6885" max="6885" width="10" style="44" customWidth="1"/>
    <col min="6886" max="6886" width="8.42578125" style="44" customWidth="1"/>
    <col min="6887" max="6887" width="10.140625" style="44" customWidth="1"/>
    <col min="6888" max="6888" width="10" style="44" customWidth="1"/>
    <col min="6889" max="6889" width="8.42578125" style="44" customWidth="1"/>
    <col min="6890" max="6890" width="10.140625" style="44" customWidth="1"/>
    <col min="6891" max="6891" width="8.28515625" style="44" customWidth="1"/>
    <col min="6892" max="6892" width="7.7109375" style="44" customWidth="1"/>
    <col min="6893" max="7132" width="9.140625" style="44"/>
    <col min="7133" max="7133" width="7.7109375" style="44" customWidth="1"/>
    <col min="7134" max="7134" width="15.140625" style="44" customWidth="1"/>
    <col min="7135" max="7135" width="10" style="44" customWidth="1"/>
    <col min="7136" max="7136" width="8.42578125" style="44" customWidth="1"/>
    <col min="7137" max="7137" width="10.140625" style="44" customWidth="1"/>
    <col min="7138" max="7138" width="10" style="44" customWidth="1"/>
    <col min="7139" max="7139" width="8.42578125" style="44" customWidth="1"/>
    <col min="7140" max="7140" width="10.140625" style="44" customWidth="1"/>
    <col min="7141" max="7141" width="10" style="44" customWidth="1"/>
    <col min="7142" max="7142" width="8.42578125" style="44" customWidth="1"/>
    <col min="7143" max="7143" width="10.140625" style="44" customWidth="1"/>
    <col min="7144" max="7144" width="10" style="44" customWidth="1"/>
    <col min="7145" max="7145" width="8.42578125" style="44" customWidth="1"/>
    <col min="7146" max="7146" width="10.140625" style="44" customWidth="1"/>
    <col min="7147" max="7147" width="8.28515625" style="44" customWidth="1"/>
    <col min="7148" max="7148" width="7.7109375" style="44" customWidth="1"/>
    <col min="7149" max="7388" width="9.140625" style="44"/>
    <col min="7389" max="7389" width="7.7109375" style="44" customWidth="1"/>
    <col min="7390" max="7390" width="15.140625" style="44" customWidth="1"/>
    <col min="7391" max="7391" width="10" style="44" customWidth="1"/>
    <col min="7392" max="7392" width="8.42578125" style="44" customWidth="1"/>
    <col min="7393" max="7393" width="10.140625" style="44" customWidth="1"/>
    <col min="7394" max="7394" width="10" style="44" customWidth="1"/>
    <col min="7395" max="7395" width="8.42578125" style="44" customWidth="1"/>
    <col min="7396" max="7396" width="10.140625" style="44" customWidth="1"/>
    <col min="7397" max="7397" width="10" style="44" customWidth="1"/>
    <col min="7398" max="7398" width="8.42578125" style="44" customWidth="1"/>
    <col min="7399" max="7399" width="10.140625" style="44" customWidth="1"/>
    <col min="7400" max="7400" width="10" style="44" customWidth="1"/>
    <col min="7401" max="7401" width="8.42578125" style="44" customWidth="1"/>
    <col min="7402" max="7402" width="10.140625" style="44" customWidth="1"/>
    <col min="7403" max="7403" width="8.28515625" style="44" customWidth="1"/>
    <col min="7404" max="7404" width="7.7109375" style="44" customWidth="1"/>
    <col min="7405" max="7644" width="9.140625" style="44"/>
    <col min="7645" max="7645" width="7.7109375" style="44" customWidth="1"/>
    <col min="7646" max="7646" width="15.140625" style="44" customWidth="1"/>
    <col min="7647" max="7647" width="10" style="44" customWidth="1"/>
    <col min="7648" max="7648" width="8.42578125" style="44" customWidth="1"/>
    <col min="7649" max="7649" width="10.140625" style="44" customWidth="1"/>
    <col min="7650" max="7650" width="10" style="44" customWidth="1"/>
    <col min="7651" max="7651" width="8.42578125" style="44" customWidth="1"/>
    <col min="7652" max="7652" width="10.140625" style="44" customWidth="1"/>
    <col min="7653" max="7653" width="10" style="44" customWidth="1"/>
    <col min="7654" max="7654" width="8.42578125" style="44" customWidth="1"/>
    <col min="7655" max="7655" width="10.140625" style="44" customWidth="1"/>
    <col min="7656" max="7656" width="10" style="44" customWidth="1"/>
    <col min="7657" max="7657" width="8.42578125" style="44" customWidth="1"/>
    <col min="7658" max="7658" width="10.140625" style="44" customWidth="1"/>
    <col min="7659" max="7659" width="8.28515625" style="44" customWidth="1"/>
    <col min="7660" max="7660" width="7.7109375" style="44" customWidth="1"/>
    <col min="7661" max="7900" width="9.140625" style="44"/>
    <col min="7901" max="7901" width="7.7109375" style="44" customWidth="1"/>
    <col min="7902" max="7902" width="15.140625" style="44" customWidth="1"/>
    <col min="7903" max="7903" width="10" style="44" customWidth="1"/>
    <col min="7904" max="7904" width="8.42578125" style="44" customWidth="1"/>
    <col min="7905" max="7905" width="10.140625" style="44" customWidth="1"/>
    <col min="7906" max="7906" width="10" style="44" customWidth="1"/>
    <col min="7907" max="7907" width="8.42578125" style="44" customWidth="1"/>
    <col min="7908" max="7908" width="10.140625" style="44" customWidth="1"/>
    <col min="7909" max="7909" width="10" style="44" customWidth="1"/>
    <col min="7910" max="7910" width="8.42578125" style="44" customWidth="1"/>
    <col min="7911" max="7911" width="10.140625" style="44" customWidth="1"/>
    <col min="7912" max="7912" width="10" style="44" customWidth="1"/>
    <col min="7913" max="7913" width="8.42578125" style="44" customWidth="1"/>
    <col min="7914" max="7914" width="10.140625" style="44" customWidth="1"/>
    <col min="7915" max="7915" width="8.28515625" style="44" customWidth="1"/>
    <col min="7916" max="7916" width="7.7109375" style="44" customWidth="1"/>
    <col min="7917" max="8156" width="9.140625" style="44"/>
    <col min="8157" max="8157" width="7.7109375" style="44" customWidth="1"/>
    <col min="8158" max="8158" width="15.140625" style="44" customWidth="1"/>
    <col min="8159" max="8159" width="10" style="44" customWidth="1"/>
    <col min="8160" max="8160" width="8.42578125" style="44" customWidth="1"/>
    <col min="8161" max="8161" width="10.140625" style="44" customWidth="1"/>
    <col min="8162" max="8162" width="10" style="44" customWidth="1"/>
    <col min="8163" max="8163" width="8.42578125" style="44" customWidth="1"/>
    <col min="8164" max="8164" width="10.140625" style="44" customWidth="1"/>
    <col min="8165" max="8165" width="10" style="44" customWidth="1"/>
    <col min="8166" max="8166" width="8.42578125" style="44" customWidth="1"/>
    <col min="8167" max="8167" width="10.140625" style="44" customWidth="1"/>
    <col min="8168" max="8168" width="10" style="44" customWidth="1"/>
    <col min="8169" max="8169" width="8.42578125" style="44" customWidth="1"/>
    <col min="8170" max="8170" width="10.140625" style="44" customWidth="1"/>
    <col min="8171" max="8171" width="8.28515625" style="44" customWidth="1"/>
    <col min="8172" max="8172" width="7.7109375" style="44" customWidth="1"/>
    <col min="8173" max="8412" width="9.140625" style="44"/>
    <col min="8413" max="8413" width="7.7109375" style="44" customWidth="1"/>
    <col min="8414" max="8414" width="15.140625" style="44" customWidth="1"/>
    <col min="8415" max="8415" width="10" style="44" customWidth="1"/>
    <col min="8416" max="8416" width="8.42578125" style="44" customWidth="1"/>
    <col min="8417" max="8417" width="10.140625" style="44" customWidth="1"/>
    <col min="8418" max="8418" width="10" style="44" customWidth="1"/>
    <col min="8419" max="8419" width="8.42578125" style="44" customWidth="1"/>
    <col min="8420" max="8420" width="10.140625" style="44" customWidth="1"/>
    <col min="8421" max="8421" width="10" style="44" customWidth="1"/>
    <col min="8422" max="8422" width="8.42578125" style="44" customWidth="1"/>
    <col min="8423" max="8423" width="10.140625" style="44" customWidth="1"/>
    <col min="8424" max="8424" width="10" style="44" customWidth="1"/>
    <col min="8425" max="8425" width="8.42578125" style="44" customWidth="1"/>
    <col min="8426" max="8426" width="10.140625" style="44" customWidth="1"/>
    <col min="8427" max="8427" width="8.28515625" style="44" customWidth="1"/>
    <col min="8428" max="8428" width="7.7109375" style="44" customWidth="1"/>
    <col min="8429" max="8668" width="9.140625" style="44"/>
    <col min="8669" max="8669" width="7.7109375" style="44" customWidth="1"/>
    <col min="8670" max="8670" width="15.140625" style="44" customWidth="1"/>
    <col min="8671" max="8671" width="10" style="44" customWidth="1"/>
    <col min="8672" max="8672" width="8.42578125" style="44" customWidth="1"/>
    <col min="8673" max="8673" width="10.140625" style="44" customWidth="1"/>
    <col min="8674" max="8674" width="10" style="44" customWidth="1"/>
    <col min="8675" max="8675" width="8.42578125" style="44" customWidth="1"/>
    <col min="8676" max="8676" width="10.140625" style="44" customWidth="1"/>
    <col min="8677" max="8677" width="10" style="44" customWidth="1"/>
    <col min="8678" max="8678" width="8.42578125" style="44" customWidth="1"/>
    <col min="8679" max="8679" width="10.140625" style="44" customWidth="1"/>
    <col min="8680" max="8680" width="10" style="44" customWidth="1"/>
    <col min="8681" max="8681" width="8.42578125" style="44" customWidth="1"/>
    <col min="8682" max="8682" width="10.140625" style="44" customWidth="1"/>
    <col min="8683" max="8683" width="8.28515625" style="44" customWidth="1"/>
    <col min="8684" max="8684" width="7.7109375" style="44" customWidth="1"/>
    <col min="8685" max="8924" width="9.140625" style="44"/>
    <col min="8925" max="8925" width="7.7109375" style="44" customWidth="1"/>
    <col min="8926" max="8926" width="15.140625" style="44" customWidth="1"/>
    <col min="8927" max="8927" width="10" style="44" customWidth="1"/>
    <col min="8928" max="8928" width="8.42578125" style="44" customWidth="1"/>
    <col min="8929" max="8929" width="10.140625" style="44" customWidth="1"/>
    <col min="8930" max="8930" width="10" style="44" customWidth="1"/>
    <col min="8931" max="8931" width="8.42578125" style="44" customWidth="1"/>
    <col min="8932" max="8932" width="10.140625" style="44" customWidth="1"/>
    <col min="8933" max="8933" width="10" style="44" customWidth="1"/>
    <col min="8934" max="8934" width="8.42578125" style="44" customWidth="1"/>
    <col min="8935" max="8935" width="10.140625" style="44" customWidth="1"/>
    <col min="8936" max="8936" width="10" style="44" customWidth="1"/>
    <col min="8937" max="8937" width="8.42578125" style="44" customWidth="1"/>
    <col min="8938" max="8938" width="10.140625" style="44" customWidth="1"/>
    <col min="8939" max="8939" width="8.28515625" style="44" customWidth="1"/>
    <col min="8940" max="8940" width="7.7109375" style="44" customWidth="1"/>
    <col min="8941" max="9180" width="9.140625" style="44"/>
    <col min="9181" max="9181" width="7.7109375" style="44" customWidth="1"/>
    <col min="9182" max="9182" width="15.140625" style="44" customWidth="1"/>
    <col min="9183" max="9183" width="10" style="44" customWidth="1"/>
    <col min="9184" max="9184" width="8.42578125" style="44" customWidth="1"/>
    <col min="9185" max="9185" width="10.140625" style="44" customWidth="1"/>
    <col min="9186" max="9186" width="10" style="44" customWidth="1"/>
    <col min="9187" max="9187" width="8.42578125" style="44" customWidth="1"/>
    <col min="9188" max="9188" width="10.140625" style="44" customWidth="1"/>
    <col min="9189" max="9189" width="10" style="44" customWidth="1"/>
    <col min="9190" max="9190" width="8.42578125" style="44" customWidth="1"/>
    <col min="9191" max="9191" width="10.140625" style="44" customWidth="1"/>
    <col min="9192" max="9192" width="10" style="44" customWidth="1"/>
    <col min="9193" max="9193" width="8.42578125" style="44" customWidth="1"/>
    <col min="9194" max="9194" width="10.140625" style="44" customWidth="1"/>
    <col min="9195" max="9195" width="8.28515625" style="44" customWidth="1"/>
    <col min="9196" max="9196" width="7.7109375" style="44" customWidth="1"/>
    <col min="9197" max="9436" width="9.140625" style="44"/>
    <col min="9437" max="9437" width="7.7109375" style="44" customWidth="1"/>
    <col min="9438" max="9438" width="15.140625" style="44" customWidth="1"/>
    <col min="9439" max="9439" width="10" style="44" customWidth="1"/>
    <col min="9440" max="9440" width="8.42578125" style="44" customWidth="1"/>
    <col min="9441" max="9441" width="10.140625" style="44" customWidth="1"/>
    <col min="9442" max="9442" width="10" style="44" customWidth="1"/>
    <col min="9443" max="9443" width="8.42578125" style="44" customWidth="1"/>
    <col min="9444" max="9444" width="10.140625" style="44" customWidth="1"/>
    <col min="9445" max="9445" width="10" style="44" customWidth="1"/>
    <col min="9446" max="9446" width="8.42578125" style="44" customWidth="1"/>
    <col min="9447" max="9447" width="10.140625" style="44" customWidth="1"/>
    <col min="9448" max="9448" width="10" style="44" customWidth="1"/>
    <col min="9449" max="9449" width="8.42578125" style="44" customWidth="1"/>
    <col min="9450" max="9450" width="10.140625" style="44" customWidth="1"/>
    <col min="9451" max="9451" width="8.28515625" style="44" customWidth="1"/>
    <col min="9452" max="9452" width="7.7109375" style="44" customWidth="1"/>
    <col min="9453" max="9692" width="9.140625" style="44"/>
    <col min="9693" max="9693" width="7.7109375" style="44" customWidth="1"/>
    <col min="9694" max="9694" width="15.140625" style="44" customWidth="1"/>
    <col min="9695" max="9695" width="10" style="44" customWidth="1"/>
    <col min="9696" max="9696" width="8.42578125" style="44" customWidth="1"/>
    <col min="9697" max="9697" width="10.140625" style="44" customWidth="1"/>
    <col min="9698" max="9698" width="10" style="44" customWidth="1"/>
    <col min="9699" max="9699" width="8.42578125" style="44" customWidth="1"/>
    <col min="9700" max="9700" width="10.140625" style="44" customWidth="1"/>
    <col min="9701" max="9701" width="10" style="44" customWidth="1"/>
    <col min="9702" max="9702" width="8.42578125" style="44" customWidth="1"/>
    <col min="9703" max="9703" width="10.140625" style="44" customWidth="1"/>
    <col min="9704" max="9704" width="10" style="44" customWidth="1"/>
    <col min="9705" max="9705" width="8.42578125" style="44" customWidth="1"/>
    <col min="9706" max="9706" width="10.140625" style="44" customWidth="1"/>
    <col min="9707" max="9707" width="8.28515625" style="44" customWidth="1"/>
    <col min="9708" max="9708" width="7.7109375" style="44" customWidth="1"/>
    <col min="9709" max="9948" width="9.140625" style="44"/>
    <col min="9949" max="9949" width="7.7109375" style="44" customWidth="1"/>
    <col min="9950" max="9950" width="15.140625" style="44" customWidth="1"/>
    <col min="9951" max="9951" width="10" style="44" customWidth="1"/>
    <col min="9952" max="9952" width="8.42578125" style="44" customWidth="1"/>
    <col min="9953" max="9953" width="10.140625" style="44" customWidth="1"/>
    <col min="9954" max="9954" width="10" style="44" customWidth="1"/>
    <col min="9955" max="9955" width="8.42578125" style="44" customWidth="1"/>
    <col min="9956" max="9956" width="10.140625" style="44" customWidth="1"/>
    <col min="9957" max="9957" width="10" style="44" customWidth="1"/>
    <col min="9958" max="9958" width="8.42578125" style="44" customWidth="1"/>
    <col min="9959" max="9959" width="10.140625" style="44" customWidth="1"/>
    <col min="9960" max="9960" width="10" style="44" customWidth="1"/>
    <col min="9961" max="9961" width="8.42578125" style="44" customWidth="1"/>
    <col min="9962" max="9962" width="10.140625" style="44" customWidth="1"/>
    <col min="9963" max="9963" width="8.28515625" style="44" customWidth="1"/>
    <col min="9964" max="9964" width="7.7109375" style="44" customWidth="1"/>
    <col min="9965" max="10204" width="9.140625" style="44"/>
    <col min="10205" max="10205" width="7.7109375" style="44" customWidth="1"/>
    <col min="10206" max="10206" width="15.140625" style="44" customWidth="1"/>
    <col min="10207" max="10207" width="10" style="44" customWidth="1"/>
    <col min="10208" max="10208" width="8.42578125" style="44" customWidth="1"/>
    <col min="10209" max="10209" width="10.140625" style="44" customWidth="1"/>
    <col min="10210" max="10210" width="10" style="44" customWidth="1"/>
    <col min="10211" max="10211" width="8.42578125" style="44" customWidth="1"/>
    <col min="10212" max="10212" width="10.140625" style="44" customWidth="1"/>
    <col min="10213" max="10213" width="10" style="44" customWidth="1"/>
    <col min="10214" max="10214" width="8.42578125" style="44" customWidth="1"/>
    <col min="10215" max="10215" width="10.140625" style="44" customWidth="1"/>
    <col min="10216" max="10216" width="10" style="44" customWidth="1"/>
    <col min="10217" max="10217" width="8.42578125" style="44" customWidth="1"/>
    <col min="10218" max="10218" width="10.140625" style="44" customWidth="1"/>
    <col min="10219" max="10219" width="8.28515625" style="44" customWidth="1"/>
    <col min="10220" max="10220" width="7.7109375" style="44" customWidth="1"/>
    <col min="10221" max="10460" width="9.140625" style="44"/>
    <col min="10461" max="10461" width="7.7109375" style="44" customWidth="1"/>
    <col min="10462" max="10462" width="15.140625" style="44" customWidth="1"/>
    <col min="10463" max="10463" width="10" style="44" customWidth="1"/>
    <col min="10464" max="10464" width="8.42578125" style="44" customWidth="1"/>
    <col min="10465" max="10465" width="10.140625" style="44" customWidth="1"/>
    <col min="10466" max="10466" width="10" style="44" customWidth="1"/>
    <col min="10467" max="10467" width="8.42578125" style="44" customWidth="1"/>
    <col min="10468" max="10468" width="10.140625" style="44" customWidth="1"/>
    <col min="10469" max="10469" width="10" style="44" customWidth="1"/>
    <col min="10470" max="10470" width="8.42578125" style="44" customWidth="1"/>
    <col min="10471" max="10471" width="10.140625" style="44" customWidth="1"/>
    <col min="10472" max="10472" width="10" style="44" customWidth="1"/>
    <col min="10473" max="10473" width="8.42578125" style="44" customWidth="1"/>
    <col min="10474" max="10474" width="10.140625" style="44" customWidth="1"/>
    <col min="10475" max="10475" width="8.28515625" style="44" customWidth="1"/>
    <col min="10476" max="10476" width="7.7109375" style="44" customWidth="1"/>
    <col min="10477" max="10716" width="9.140625" style="44"/>
    <col min="10717" max="10717" width="7.7109375" style="44" customWidth="1"/>
    <col min="10718" max="10718" width="15.140625" style="44" customWidth="1"/>
    <col min="10719" max="10719" width="10" style="44" customWidth="1"/>
    <col min="10720" max="10720" width="8.42578125" style="44" customWidth="1"/>
    <col min="10721" max="10721" width="10.140625" style="44" customWidth="1"/>
    <col min="10722" max="10722" width="10" style="44" customWidth="1"/>
    <col min="10723" max="10723" width="8.42578125" style="44" customWidth="1"/>
    <col min="10724" max="10724" width="10.140625" style="44" customWidth="1"/>
    <col min="10725" max="10725" width="10" style="44" customWidth="1"/>
    <col min="10726" max="10726" width="8.42578125" style="44" customWidth="1"/>
    <col min="10727" max="10727" width="10.140625" style="44" customWidth="1"/>
    <col min="10728" max="10728" width="10" style="44" customWidth="1"/>
    <col min="10729" max="10729" width="8.42578125" style="44" customWidth="1"/>
    <col min="10730" max="10730" width="10.140625" style="44" customWidth="1"/>
    <col min="10731" max="10731" width="8.28515625" style="44" customWidth="1"/>
    <col min="10732" max="10732" width="7.7109375" style="44" customWidth="1"/>
    <col min="10733" max="10972" width="9.140625" style="44"/>
    <col min="10973" max="10973" width="7.7109375" style="44" customWidth="1"/>
    <col min="10974" max="10974" width="15.140625" style="44" customWidth="1"/>
    <col min="10975" max="10975" width="10" style="44" customWidth="1"/>
    <col min="10976" max="10976" width="8.42578125" style="44" customWidth="1"/>
    <col min="10977" max="10977" width="10.140625" style="44" customWidth="1"/>
    <col min="10978" max="10978" width="10" style="44" customWidth="1"/>
    <col min="10979" max="10979" width="8.42578125" style="44" customWidth="1"/>
    <col min="10980" max="10980" width="10.140625" style="44" customWidth="1"/>
    <col min="10981" max="10981" width="10" style="44" customWidth="1"/>
    <col min="10982" max="10982" width="8.42578125" style="44" customWidth="1"/>
    <col min="10983" max="10983" width="10.140625" style="44" customWidth="1"/>
    <col min="10984" max="10984" width="10" style="44" customWidth="1"/>
    <col min="10985" max="10985" width="8.42578125" style="44" customWidth="1"/>
    <col min="10986" max="10986" width="10.140625" style="44" customWidth="1"/>
    <col min="10987" max="10987" width="8.28515625" style="44" customWidth="1"/>
    <col min="10988" max="10988" width="7.7109375" style="44" customWidth="1"/>
    <col min="10989" max="11228" width="9.140625" style="44"/>
    <col min="11229" max="11229" width="7.7109375" style="44" customWidth="1"/>
    <col min="11230" max="11230" width="15.140625" style="44" customWidth="1"/>
    <col min="11231" max="11231" width="10" style="44" customWidth="1"/>
    <col min="11232" max="11232" width="8.42578125" style="44" customWidth="1"/>
    <col min="11233" max="11233" width="10.140625" style="44" customWidth="1"/>
    <col min="11234" max="11234" width="10" style="44" customWidth="1"/>
    <col min="11235" max="11235" width="8.42578125" style="44" customWidth="1"/>
    <col min="11236" max="11236" width="10.140625" style="44" customWidth="1"/>
    <col min="11237" max="11237" width="10" style="44" customWidth="1"/>
    <col min="11238" max="11238" width="8.42578125" style="44" customWidth="1"/>
    <col min="11239" max="11239" width="10.140625" style="44" customWidth="1"/>
    <col min="11240" max="11240" width="10" style="44" customWidth="1"/>
    <col min="11241" max="11241" width="8.42578125" style="44" customWidth="1"/>
    <col min="11242" max="11242" width="10.140625" style="44" customWidth="1"/>
    <col min="11243" max="11243" width="8.28515625" style="44" customWidth="1"/>
    <col min="11244" max="11244" width="7.7109375" style="44" customWidth="1"/>
    <col min="11245" max="11484" width="9.140625" style="44"/>
    <col min="11485" max="11485" width="7.7109375" style="44" customWidth="1"/>
    <col min="11486" max="11486" width="15.140625" style="44" customWidth="1"/>
    <col min="11487" max="11487" width="10" style="44" customWidth="1"/>
    <col min="11488" max="11488" width="8.42578125" style="44" customWidth="1"/>
    <col min="11489" max="11489" width="10.140625" style="44" customWidth="1"/>
    <col min="11490" max="11490" width="10" style="44" customWidth="1"/>
    <col min="11491" max="11491" width="8.42578125" style="44" customWidth="1"/>
    <col min="11492" max="11492" width="10.140625" style="44" customWidth="1"/>
    <col min="11493" max="11493" width="10" style="44" customWidth="1"/>
    <col min="11494" max="11494" width="8.42578125" style="44" customWidth="1"/>
    <col min="11495" max="11495" width="10.140625" style="44" customWidth="1"/>
    <col min="11496" max="11496" width="10" style="44" customWidth="1"/>
    <col min="11497" max="11497" width="8.42578125" style="44" customWidth="1"/>
    <col min="11498" max="11498" width="10.140625" style="44" customWidth="1"/>
    <col min="11499" max="11499" width="8.28515625" style="44" customWidth="1"/>
    <col min="11500" max="11500" width="7.7109375" style="44" customWidth="1"/>
    <col min="11501" max="11740" width="9.140625" style="44"/>
    <col min="11741" max="11741" width="7.7109375" style="44" customWidth="1"/>
    <col min="11742" max="11742" width="15.140625" style="44" customWidth="1"/>
    <col min="11743" max="11743" width="10" style="44" customWidth="1"/>
    <col min="11744" max="11744" width="8.42578125" style="44" customWidth="1"/>
    <col min="11745" max="11745" width="10.140625" style="44" customWidth="1"/>
    <col min="11746" max="11746" width="10" style="44" customWidth="1"/>
    <col min="11747" max="11747" width="8.42578125" style="44" customWidth="1"/>
    <col min="11748" max="11748" width="10.140625" style="44" customWidth="1"/>
    <col min="11749" max="11749" width="10" style="44" customWidth="1"/>
    <col min="11750" max="11750" width="8.42578125" style="44" customWidth="1"/>
    <col min="11751" max="11751" width="10.140625" style="44" customWidth="1"/>
    <col min="11752" max="11752" width="10" style="44" customWidth="1"/>
    <col min="11753" max="11753" width="8.42578125" style="44" customWidth="1"/>
    <col min="11754" max="11754" width="10.140625" style="44" customWidth="1"/>
    <col min="11755" max="11755" width="8.28515625" style="44" customWidth="1"/>
    <col min="11756" max="11756" width="7.7109375" style="44" customWidth="1"/>
    <col min="11757" max="11996" width="9.140625" style="44"/>
    <col min="11997" max="11997" width="7.7109375" style="44" customWidth="1"/>
    <col min="11998" max="11998" width="15.140625" style="44" customWidth="1"/>
    <col min="11999" max="11999" width="10" style="44" customWidth="1"/>
    <col min="12000" max="12000" width="8.42578125" style="44" customWidth="1"/>
    <col min="12001" max="12001" width="10.140625" style="44" customWidth="1"/>
    <col min="12002" max="12002" width="10" style="44" customWidth="1"/>
    <col min="12003" max="12003" width="8.42578125" style="44" customWidth="1"/>
    <col min="12004" max="12004" width="10.140625" style="44" customWidth="1"/>
    <col min="12005" max="12005" width="10" style="44" customWidth="1"/>
    <col min="12006" max="12006" width="8.42578125" style="44" customWidth="1"/>
    <col min="12007" max="12007" width="10.140625" style="44" customWidth="1"/>
    <col min="12008" max="12008" width="10" style="44" customWidth="1"/>
    <col min="12009" max="12009" width="8.42578125" style="44" customWidth="1"/>
    <col min="12010" max="12010" width="10.140625" style="44" customWidth="1"/>
    <col min="12011" max="12011" width="8.28515625" style="44" customWidth="1"/>
    <col min="12012" max="12012" width="7.7109375" style="44" customWidth="1"/>
    <col min="12013" max="12252" width="9.140625" style="44"/>
    <col min="12253" max="12253" width="7.7109375" style="44" customWidth="1"/>
    <col min="12254" max="12254" width="15.140625" style="44" customWidth="1"/>
    <col min="12255" max="12255" width="10" style="44" customWidth="1"/>
    <col min="12256" max="12256" width="8.42578125" style="44" customWidth="1"/>
    <col min="12257" max="12257" width="10.140625" style="44" customWidth="1"/>
    <col min="12258" max="12258" width="10" style="44" customWidth="1"/>
    <col min="12259" max="12259" width="8.42578125" style="44" customWidth="1"/>
    <col min="12260" max="12260" width="10.140625" style="44" customWidth="1"/>
    <col min="12261" max="12261" width="10" style="44" customWidth="1"/>
    <col min="12262" max="12262" width="8.42578125" style="44" customWidth="1"/>
    <col min="12263" max="12263" width="10.140625" style="44" customWidth="1"/>
    <col min="12264" max="12264" width="10" style="44" customWidth="1"/>
    <col min="12265" max="12265" width="8.42578125" style="44" customWidth="1"/>
    <col min="12266" max="12266" width="10.140625" style="44" customWidth="1"/>
    <col min="12267" max="12267" width="8.28515625" style="44" customWidth="1"/>
    <col min="12268" max="12268" width="7.7109375" style="44" customWidth="1"/>
    <col min="12269" max="12508" width="9.140625" style="44"/>
    <col min="12509" max="12509" width="7.7109375" style="44" customWidth="1"/>
    <col min="12510" max="12510" width="15.140625" style="44" customWidth="1"/>
    <col min="12511" max="12511" width="10" style="44" customWidth="1"/>
    <col min="12512" max="12512" width="8.42578125" style="44" customWidth="1"/>
    <col min="12513" max="12513" width="10.140625" style="44" customWidth="1"/>
    <col min="12514" max="12514" width="10" style="44" customWidth="1"/>
    <col min="12515" max="12515" width="8.42578125" style="44" customWidth="1"/>
    <col min="12516" max="12516" width="10.140625" style="44" customWidth="1"/>
    <col min="12517" max="12517" width="10" style="44" customWidth="1"/>
    <col min="12518" max="12518" width="8.42578125" style="44" customWidth="1"/>
    <col min="12519" max="12519" width="10.140625" style="44" customWidth="1"/>
    <col min="12520" max="12520" width="10" style="44" customWidth="1"/>
    <col min="12521" max="12521" width="8.42578125" style="44" customWidth="1"/>
    <col min="12522" max="12522" width="10.140625" style="44" customWidth="1"/>
    <col min="12523" max="12523" width="8.28515625" style="44" customWidth="1"/>
    <col min="12524" max="12524" width="7.7109375" style="44" customWidth="1"/>
    <col min="12525" max="12764" width="9.140625" style="44"/>
    <col min="12765" max="12765" width="7.7109375" style="44" customWidth="1"/>
    <col min="12766" max="12766" width="15.140625" style="44" customWidth="1"/>
    <col min="12767" max="12767" width="10" style="44" customWidth="1"/>
    <col min="12768" max="12768" width="8.42578125" style="44" customWidth="1"/>
    <col min="12769" max="12769" width="10.140625" style="44" customWidth="1"/>
    <col min="12770" max="12770" width="10" style="44" customWidth="1"/>
    <col min="12771" max="12771" width="8.42578125" style="44" customWidth="1"/>
    <col min="12772" max="12772" width="10.140625" style="44" customWidth="1"/>
    <col min="12773" max="12773" width="10" style="44" customWidth="1"/>
    <col min="12774" max="12774" width="8.42578125" style="44" customWidth="1"/>
    <col min="12775" max="12775" width="10.140625" style="44" customWidth="1"/>
    <col min="12776" max="12776" width="10" style="44" customWidth="1"/>
    <col min="12777" max="12777" width="8.42578125" style="44" customWidth="1"/>
    <col min="12778" max="12778" width="10.140625" style="44" customWidth="1"/>
    <col min="12779" max="12779" width="8.28515625" style="44" customWidth="1"/>
    <col min="12780" max="12780" width="7.7109375" style="44" customWidth="1"/>
    <col min="12781" max="13020" width="9.140625" style="44"/>
    <col min="13021" max="13021" width="7.7109375" style="44" customWidth="1"/>
    <col min="13022" max="13022" width="15.140625" style="44" customWidth="1"/>
    <col min="13023" max="13023" width="10" style="44" customWidth="1"/>
    <col min="13024" max="13024" width="8.42578125" style="44" customWidth="1"/>
    <col min="13025" max="13025" width="10.140625" style="44" customWidth="1"/>
    <col min="13026" max="13026" width="10" style="44" customWidth="1"/>
    <col min="13027" max="13027" width="8.42578125" style="44" customWidth="1"/>
    <col min="13028" max="13028" width="10.140625" style="44" customWidth="1"/>
    <col min="13029" max="13029" width="10" style="44" customWidth="1"/>
    <col min="13030" max="13030" width="8.42578125" style="44" customWidth="1"/>
    <col min="13031" max="13031" width="10.140625" style="44" customWidth="1"/>
    <col min="13032" max="13032" width="10" style="44" customWidth="1"/>
    <col min="13033" max="13033" width="8.42578125" style="44" customWidth="1"/>
    <col min="13034" max="13034" width="10.140625" style="44" customWidth="1"/>
    <col min="13035" max="13035" width="8.28515625" style="44" customWidth="1"/>
    <col min="13036" max="13036" width="7.7109375" style="44" customWidth="1"/>
    <col min="13037" max="13276" width="9.140625" style="44"/>
    <col min="13277" max="13277" width="7.7109375" style="44" customWidth="1"/>
    <col min="13278" max="13278" width="15.140625" style="44" customWidth="1"/>
    <col min="13279" max="13279" width="10" style="44" customWidth="1"/>
    <col min="13280" max="13280" width="8.42578125" style="44" customWidth="1"/>
    <col min="13281" max="13281" width="10.140625" style="44" customWidth="1"/>
    <col min="13282" max="13282" width="10" style="44" customWidth="1"/>
    <col min="13283" max="13283" width="8.42578125" style="44" customWidth="1"/>
    <col min="13284" max="13284" width="10.140625" style="44" customWidth="1"/>
    <col min="13285" max="13285" width="10" style="44" customWidth="1"/>
    <col min="13286" max="13286" width="8.42578125" style="44" customWidth="1"/>
    <col min="13287" max="13287" width="10.140625" style="44" customWidth="1"/>
    <col min="13288" max="13288" width="10" style="44" customWidth="1"/>
    <col min="13289" max="13289" width="8.42578125" style="44" customWidth="1"/>
    <col min="13290" max="13290" width="10.140625" style="44" customWidth="1"/>
    <col min="13291" max="13291" width="8.28515625" style="44" customWidth="1"/>
    <col min="13292" max="13292" width="7.7109375" style="44" customWidth="1"/>
    <col min="13293" max="13532" width="9.140625" style="44"/>
    <col min="13533" max="13533" width="7.7109375" style="44" customWidth="1"/>
    <col min="13534" max="13534" width="15.140625" style="44" customWidth="1"/>
    <col min="13535" max="13535" width="10" style="44" customWidth="1"/>
    <col min="13536" max="13536" width="8.42578125" style="44" customWidth="1"/>
    <col min="13537" max="13537" width="10.140625" style="44" customWidth="1"/>
    <col min="13538" max="13538" width="10" style="44" customWidth="1"/>
    <col min="13539" max="13539" width="8.42578125" style="44" customWidth="1"/>
    <col min="13540" max="13540" width="10.140625" style="44" customWidth="1"/>
    <col min="13541" max="13541" width="10" style="44" customWidth="1"/>
    <col min="13542" max="13542" width="8.42578125" style="44" customWidth="1"/>
    <col min="13543" max="13543" width="10.140625" style="44" customWidth="1"/>
    <col min="13544" max="13544" width="10" style="44" customWidth="1"/>
    <col min="13545" max="13545" width="8.42578125" style="44" customWidth="1"/>
    <col min="13546" max="13546" width="10.140625" style="44" customWidth="1"/>
    <col min="13547" max="13547" width="8.28515625" style="44" customWidth="1"/>
    <col min="13548" max="13548" width="7.7109375" style="44" customWidth="1"/>
    <col min="13549" max="13788" width="9.140625" style="44"/>
    <col min="13789" max="13789" width="7.7109375" style="44" customWidth="1"/>
    <col min="13790" max="13790" width="15.140625" style="44" customWidth="1"/>
    <col min="13791" max="13791" width="10" style="44" customWidth="1"/>
    <col min="13792" max="13792" width="8.42578125" style="44" customWidth="1"/>
    <col min="13793" max="13793" width="10.140625" style="44" customWidth="1"/>
    <col min="13794" max="13794" width="10" style="44" customWidth="1"/>
    <col min="13795" max="13795" width="8.42578125" style="44" customWidth="1"/>
    <col min="13796" max="13796" width="10.140625" style="44" customWidth="1"/>
    <col min="13797" max="13797" width="10" style="44" customWidth="1"/>
    <col min="13798" max="13798" width="8.42578125" style="44" customWidth="1"/>
    <col min="13799" max="13799" width="10.140625" style="44" customWidth="1"/>
    <col min="13800" max="13800" width="10" style="44" customWidth="1"/>
    <col min="13801" max="13801" width="8.42578125" style="44" customWidth="1"/>
    <col min="13802" max="13802" width="10.140625" style="44" customWidth="1"/>
    <col min="13803" max="13803" width="8.28515625" style="44" customWidth="1"/>
    <col min="13804" max="13804" width="7.7109375" style="44" customWidth="1"/>
    <col min="13805" max="14044" width="9.140625" style="44"/>
    <col min="14045" max="14045" width="7.7109375" style="44" customWidth="1"/>
    <col min="14046" max="14046" width="15.140625" style="44" customWidth="1"/>
    <col min="14047" max="14047" width="10" style="44" customWidth="1"/>
    <col min="14048" max="14048" width="8.42578125" style="44" customWidth="1"/>
    <col min="14049" max="14049" width="10.140625" style="44" customWidth="1"/>
    <col min="14050" max="14050" width="10" style="44" customWidth="1"/>
    <col min="14051" max="14051" width="8.42578125" style="44" customWidth="1"/>
    <col min="14052" max="14052" width="10.140625" style="44" customWidth="1"/>
    <col min="14053" max="14053" width="10" style="44" customWidth="1"/>
    <col min="14054" max="14054" width="8.42578125" style="44" customWidth="1"/>
    <col min="14055" max="14055" width="10.140625" style="44" customWidth="1"/>
    <col min="14056" max="14056" width="10" style="44" customWidth="1"/>
    <col min="14057" max="14057" width="8.42578125" style="44" customWidth="1"/>
    <col min="14058" max="14058" width="10.140625" style="44" customWidth="1"/>
    <col min="14059" max="14059" width="8.28515625" style="44" customWidth="1"/>
    <col min="14060" max="14060" width="7.7109375" style="44" customWidth="1"/>
    <col min="14061" max="14300" width="9.140625" style="44"/>
    <col min="14301" max="14301" width="7.7109375" style="44" customWidth="1"/>
    <col min="14302" max="14302" width="15.140625" style="44" customWidth="1"/>
    <col min="14303" max="14303" width="10" style="44" customWidth="1"/>
    <col min="14304" max="14304" width="8.42578125" style="44" customWidth="1"/>
    <col min="14305" max="14305" width="10.140625" style="44" customWidth="1"/>
    <col min="14306" max="14306" width="10" style="44" customWidth="1"/>
    <col min="14307" max="14307" width="8.42578125" style="44" customWidth="1"/>
    <col min="14308" max="14308" width="10.140625" style="44" customWidth="1"/>
    <col min="14309" max="14309" width="10" style="44" customWidth="1"/>
    <col min="14310" max="14310" width="8.42578125" style="44" customWidth="1"/>
    <col min="14311" max="14311" width="10.140625" style="44" customWidth="1"/>
    <col min="14312" max="14312" width="10" style="44" customWidth="1"/>
    <col min="14313" max="14313" width="8.42578125" style="44" customWidth="1"/>
    <col min="14314" max="14314" width="10.140625" style="44" customWidth="1"/>
    <col min="14315" max="14315" width="8.28515625" style="44" customWidth="1"/>
    <col min="14316" max="14316" width="7.7109375" style="44" customWidth="1"/>
    <col min="14317" max="14556" width="9.140625" style="44"/>
    <col min="14557" max="14557" width="7.7109375" style="44" customWidth="1"/>
    <col min="14558" max="14558" width="15.140625" style="44" customWidth="1"/>
    <col min="14559" max="14559" width="10" style="44" customWidth="1"/>
    <col min="14560" max="14560" width="8.42578125" style="44" customWidth="1"/>
    <col min="14561" max="14561" width="10.140625" style="44" customWidth="1"/>
    <col min="14562" max="14562" width="10" style="44" customWidth="1"/>
    <col min="14563" max="14563" width="8.42578125" style="44" customWidth="1"/>
    <col min="14564" max="14564" width="10.140625" style="44" customWidth="1"/>
    <col min="14565" max="14565" width="10" style="44" customWidth="1"/>
    <col min="14566" max="14566" width="8.42578125" style="44" customWidth="1"/>
    <col min="14567" max="14567" width="10.140625" style="44" customWidth="1"/>
    <col min="14568" max="14568" width="10" style="44" customWidth="1"/>
    <col min="14569" max="14569" width="8.42578125" style="44" customWidth="1"/>
    <col min="14570" max="14570" width="10.140625" style="44" customWidth="1"/>
    <col min="14571" max="14571" width="8.28515625" style="44" customWidth="1"/>
    <col min="14572" max="14572" width="7.7109375" style="44" customWidth="1"/>
    <col min="14573" max="14812" width="9.140625" style="44"/>
    <col min="14813" max="14813" width="7.7109375" style="44" customWidth="1"/>
    <col min="14814" max="14814" width="15.140625" style="44" customWidth="1"/>
    <col min="14815" max="14815" width="10" style="44" customWidth="1"/>
    <col min="14816" max="14816" width="8.42578125" style="44" customWidth="1"/>
    <col min="14817" max="14817" width="10.140625" style="44" customWidth="1"/>
    <col min="14818" max="14818" width="10" style="44" customWidth="1"/>
    <col min="14819" max="14819" width="8.42578125" style="44" customWidth="1"/>
    <col min="14820" max="14820" width="10.140625" style="44" customWidth="1"/>
    <col min="14821" max="14821" width="10" style="44" customWidth="1"/>
    <col min="14822" max="14822" width="8.42578125" style="44" customWidth="1"/>
    <col min="14823" max="14823" width="10.140625" style="44" customWidth="1"/>
    <col min="14824" max="14824" width="10" style="44" customWidth="1"/>
    <col min="14825" max="14825" width="8.42578125" style="44" customWidth="1"/>
    <col min="14826" max="14826" width="10.140625" style="44" customWidth="1"/>
    <col min="14827" max="14827" width="8.28515625" style="44" customWidth="1"/>
    <col min="14828" max="14828" width="7.7109375" style="44" customWidth="1"/>
    <col min="14829" max="15068" width="9.140625" style="44"/>
    <col min="15069" max="15069" width="7.7109375" style="44" customWidth="1"/>
    <col min="15070" max="15070" width="15.140625" style="44" customWidth="1"/>
    <col min="15071" max="15071" width="10" style="44" customWidth="1"/>
    <col min="15072" max="15072" width="8.42578125" style="44" customWidth="1"/>
    <col min="15073" max="15073" width="10.140625" style="44" customWidth="1"/>
    <col min="15074" max="15074" width="10" style="44" customWidth="1"/>
    <col min="15075" max="15075" width="8.42578125" style="44" customWidth="1"/>
    <col min="15076" max="15076" width="10.140625" style="44" customWidth="1"/>
    <col min="15077" max="15077" width="10" style="44" customWidth="1"/>
    <col min="15078" max="15078" width="8.42578125" style="44" customWidth="1"/>
    <col min="15079" max="15079" width="10.140625" style="44" customWidth="1"/>
    <col min="15080" max="15080" width="10" style="44" customWidth="1"/>
    <col min="15081" max="15081" width="8.42578125" style="44" customWidth="1"/>
    <col min="15082" max="15082" width="10.140625" style="44" customWidth="1"/>
    <col min="15083" max="15083" width="8.28515625" style="44" customWidth="1"/>
    <col min="15084" max="15084" width="7.7109375" style="44" customWidth="1"/>
    <col min="15085" max="15324" width="9.140625" style="44"/>
    <col min="15325" max="15325" width="7.7109375" style="44" customWidth="1"/>
    <col min="15326" max="15326" width="15.140625" style="44" customWidth="1"/>
    <col min="15327" max="15327" width="10" style="44" customWidth="1"/>
    <col min="15328" max="15328" width="8.42578125" style="44" customWidth="1"/>
    <col min="15329" max="15329" width="10.140625" style="44" customWidth="1"/>
    <col min="15330" max="15330" width="10" style="44" customWidth="1"/>
    <col min="15331" max="15331" width="8.42578125" style="44" customWidth="1"/>
    <col min="15332" max="15332" width="10.140625" style="44" customWidth="1"/>
    <col min="15333" max="15333" width="10" style="44" customWidth="1"/>
    <col min="15334" max="15334" width="8.42578125" style="44" customWidth="1"/>
    <col min="15335" max="15335" width="10.140625" style="44" customWidth="1"/>
    <col min="15336" max="15336" width="10" style="44" customWidth="1"/>
    <col min="15337" max="15337" width="8.42578125" style="44" customWidth="1"/>
    <col min="15338" max="15338" width="10.140625" style="44" customWidth="1"/>
    <col min="15339" max="15339" width="8.28515625" style="44" customWidth="1"/>
    <col min="15340" max="15340" width="7.7109375" style="44" customWidth="1"/>
    <col min="15341" max="15580" width="9.140625" style="44"/>
    <col min="15581" max="15581" width="7.7109375" style="44" customWidth="1"/>
    <col min="15582" max="15582" width="15.140625" style="44" customWidth="1"/>
    <col min="15583" max="15583" width="10" style="44" customWidth="1"/>
    <col min="15584" max="15584" width="8.42578125" style="44" customWidth="1"/>
    <col min="15585" max="15585" width="10.140625" style="44" customWidth="1"/>
    <col min="15586" max="15586" width="10" style="44" customWidth="1"/>
    <col min="15587" max="15587" width="8.42578125" style="44" customWidth="1"/>
    <col min="15588" max="15588" width="10.140625" style="44" customWidth="1"/>
    <col min="15589" max="15589" width="10" style="44" customWidth="1"/>
    <col min="15590" max="15590" width="8.42578125" style="44" customWidth="1"/>
    <col min="15591" max="15591" width="10.140625" style="44" customWidth="1"/>
    <col min="15592" max="15592" width="10" style="44" customWidth="1"/>
    <col min="15593" max="15593" width="8.42578125" style="44" customWidth="1"/>
    <col min="15594" max="15594" width="10.140625" style="44" customWidth="1"/>
    <col min="15595" max="15595" width="8.28515625" style="44" customWidth="1"/>
    <col min="15596" max="15596" width="7.7109375" style="44" customWidth="1"/>
    <col min="15597" max="15836" width="9.140625" style="44"/>
    <col min="15837" max="15837" width="7.7109375" style="44" customWidth="1"/>
    <col min="15838" max="15838" width="15.140625" style="44" customWidth="1"/>
    <col min="15839" max="15839" width="10" style="44" customWidth="1"/>
    <col min="15840" max="15840" width="8.42578125" style="44" customWidth="1"/>
    <col min="15841" max="15841" width="10.140625" style="44" customWidth="1"/>
    <col min="15842" max="15842" width="10" style="44" customWidth="1"/>
    <col min="15843" max="15843" width="8.42578125" style="44" customWidth="1"/>
    <col min="15844" max="15844" width="10.140625" style="44" customWidth="1"/>
    <col min="15845" max="15845" width="10" style="44" customWidth="1"/>
    <col min="15846" max="15846" width="8.42578125" style="44" customWidth="1"/>
    <col min="15847" max="15847" width="10.140625" style="44" customWidth="1"/>
    <col min="15848" max="15848" width="10" style="44" customWidth="1"/>
    <col min="15849" max="15849" width="8.42578125" style="44" customWidth="1"/>
    <col min="15850" max="15850" width="10.140625" style="44" customWidth="1"/>
    <col min="15851" max="15851" width="8.28515625" style="44" customWidth="1"/>
    <col min="15852" max="15852" width="7.7109375" style="44" customWidth="1"/>
    <col min="15853" max="16092" width="9.140625" style="44"/>
    <col min="16093" max="16093" width="7.7109375" style="44" customWidth="1"/>
    <col min="16094" max="16094" width="15.140625" style="44" customWidth="1"/>
    <col min="16095" max="16095" width="10" style="44" customWidth="1"/>
    <col min="16096" max="16096" width="8.42578125" style="44" customWidth="1"/>
    <col min="16097" max="16097" width="10.140625" style="44" customWidth="1"/>
    <col min="16098" max="16098" width="10" style="44" customWidth="1"/>
    <col min="16099" max="16099" width="8.42578125" style="44" customWidth="1"/>
    <col min="16100" max="16100" width="10.140625" style="44" customWidth="1"/>
    <col min="16101" max="16101" width="10" style="44" customWidth="1"/>
    <col min="16102" max="16102" width="8.42578125" style="44" customWidth="1"/>
    <col min="16103" max="16103" width="10.140625" style="44" customWidth="1"/>
    <col min="16104" max="16104" width="10" style="44" customWidth="1"/>
    <col min="16105" max="16105" width="8.42578125" style="44" customWidth="1"/>
    <col min="16106" max="16106" width="10.140625" style="44" customWidth="1"/>
    <col min="16107" max="16107" width="8.28515625" style="44" customWidth="1"/>
    <col min="16108" max="16108" width="7.7109375" style="44" customWidth="1"/>
    <col min="16109" max="16384" width="9.140625" style="44"/>
  </cols>
  <sheetData>
    <row r="2" spans="1:17" x14ac:dyDescent="0.2">
      <c r="F2" s="65" t="s">
        <v>314</v>
      </c>
    </row>
    <row r="7" spans="1:17" x14ac:dyDescent="0.2">
      <c r="A7" s="58"/>
    </row>
    <row r="8" spans="1:17" x14ac:dyDescent="0.2">
      <c r="A8" s="58"/>
    </row>
    <row r="9" spans="1:17" x14ac:dyDescent="0.2">
      <c r="B9" s="58">
        <v>1.1399999999999999</v>
      </c>
      <c r="C9" s="396"/>
      <c r="D9" s="396"/>
      <c r="E9" s="396"/>
      <c r="F9" s="396"/>
      <c r="G9" s="396"/>
      <c r="H9" s="396"/>
      <c r="I9" s="396"/>
      <c r="J9" s="396"/>
      <c r="K9" s="396"/>
    </row>
    <row r="10" spans="1:17" x14ac:dyDescent="0.2">
      <c r="B10" s="58"/>
    </row>
    <row r="11" spans="1:17" x14ac:dyDescent="0.2">
      <c r="A11" s="89"/>
      <c r="B11" s="415"/>
      <c r="C11" s="402">
        <v>2020</v>
      </c>
      <c r="D11" s="376"/>
      <c r="E11" s="403"/>
      <c r="F11" s="376">
        <v>2021</v>
      </c>
      <c r="G11" s="376"/>
      <c r="H11" s="376"/>
      <c r="I11" s="402">
        <v>2022</v>
      </c>
      <c r="J11" s="376"/>
      <c r="K11" s="376"/>
      <c r="L11" s="402">
        <v>2023</v>
      </c>
      <c r="M11" s="376"/>
      <c r="N11" s="376"/>
      <c r="O11" s="402">
        <v>2024</v>
      </c>
      <c r="P11" s="376"/>
      <c r="Q11" s="376"/>
    </row>
    <row r="12" spans="1:17" ht="25.5" x14ac:dyDescent="0.2">
      <c r="A12" s="89"/>
      <c r="B12" s="416"/>
      <c r="C12" s="332" t="s">
        <v>46</v>
      </c>
      <c r="D12" s="320" t="s">
        <v>106</v>
      </c>
      <c r="E12" s="333" t="s">
        <v>118</v>
      </c>
      <c r="F12" s="48" t="s">
        <v>46</v>
      </c>
      <c r="G12" s="320" t="s">
        <v>106</v>
      </c>
      <c r="H12" s="320" t="s">
        <v>118</v>
      </c>
      <c r="I12" s="332" t="s">
        <v>46</v>
      </c>
      <c r="J12" s="320" t="s">
        <v>106</v>
      </c>
      <c r="K12" s="320" t="s">
        <v>118</v>
      </c>
      <c r="L12" s="332" t="s">
        <v>46</v>
      </c>
      <c r="M12" s="320" t="s">
        <v>106</v>
      </c>
      <c r="N12" s="320" t="s">
        <v>118</v>
      </c>
      <c r="O12" s="332" t="s">
        <v>46</v>
      </c>
      <c r="P12" s="320" t="s">
        <v>106</v>
      </c>
      <c r="Q12" s="320" t="s">
        <v>118</v>
      </c>
    </row>
    <row r="13" spans="1:17" x14ac:dyDescent="0.2">
      <c r="A13" s="89"/>
      <c r="B13" s="334"/>
      <c r="C13" s="335"/>
      <c r="D13" s="336"/>
      <c r="E13" s="337"/>
      <c r="F13" s="111"/>
      <c r="G13" s="111"/>
      <c r="H13" s="111"/>
      <c r="I13" s="335"/>
      <c r="J13" s="336"/>
      <c r="K13" s="336"/>
      <c r="L13" s="335"/>
      <c r="M13" s="336"/>
      <c r="N13" s="336"/>
    </row>
    <row r="14" spans="1:17" x14ac:dyDescent="0.2">
      <c r="A14" s="89"/>
      <c r="B14" s="73" t="s">
        <v>103</v>
      </c>
      <c r="C14" s="338">
        <f>C16+C24</f>
        <v>65786.000000000102</v>
      </c>
      <c r="D14" s="339">
        <f>D16+D24</f>
        <v>27084.33429169087</v>
      </c>
      <c r="E14" s="340">
        <f>C14/D14</f>
        <v>2.4289317688780119</v>
      </c>
      <c r="F14" s="341">
        <f>F16+F24</f>
        <v>71104.754466624552</v>
      </c>
      <c r="G14" s="341">
        <f>G16+G24</f>
        <v>29699.000000003329</v>
      </c>
      <c r="H14" s="342">
        <f>F14/G14</f>
        <v>2.3941800891146698</v>
      </c>
      <c r="I14" s="338">
        <f>I16+I24</f>
        <v>81546.088299999625</v>
      </c>
      <c r="J14" s="339">
        <f>J16+J24</f>
        <v>34133.068676534327</v>
      </c>
      <c r="K14" s="343">
        <f>I14/J14</f>
        <v>2.3890640795522913</v>
      </c>
      <c r="L14" s="338">
        <f>L16+L24</f>
        <v>84738.261147721758</v>
      </c>
      <c r="M14" s="339">
        <f>M16+M24</f>
        <v>35792.938656625709</v>
      </c>
      <c r="N14" s="343">
        <f>L14/M14</f>
        <v>2.3674575021806898</v>
      </c>
      <c r="O14" s="344">
        <v>88833.367838349339</v>
      </c>
      <c r="P14" s="344">
        <v>38377.042662750253</v>
      </c>
      <c r="Q14" s="345">
        <f>O14/P14</f>
        <v>2.3147528229050671</v>
      </c>
    </row>
    <row r="15" spans="1:17" s="66" customFormat="1" x14ac:dyDescent="0.2">
      <c r="A15" s="90"/>
      <c r="B15" s="334"/>
      <c r="C15" s="346"/>
      <c r="D15" s="347"/>
      <c r="E15" s="348"/>
      <c r="F15" s="349"/>
      <c r="G15" s="350"/>
      <c r="H15" s="351"/>
      <c r="I15" s="346"/>
      <c r="J15" s="347"/>
      <c r="K15" s="352"/>
      <c r="L15" s="346"/>
      <c r="M15" s="347"/>
      <c r="N15" s="352"/>
      <c r="O15" s="353"/>
      <c r="P15" s="353"/>
      <c r="Q15" s="345"/>
    </row>
    <row r="16" spans="1:17" x14ac:dyDescent="0.2">
      <c r="A16" s="89"/>
      <c r="B16" s="73" t="s">
        <v>104</v>
      </c>
      <c r="C16" s="338">
        <f>SUM(C18:C22)</f>
        <v>64082.706570699222</v>
      </c>
      <c r="D16" s="339">
        <f>SUM(D18:D22)</f>
        <v>26196.671385988771</v>
      </c>
      <c r="E16" s="340">
        <f t="shared" ref="E16" si="0">C16/D16</f>
        <v>2.4462156136742514</v>
      </c>
      <c r="F16" s="341">
        <f>SUM(F18:F22)</f>
        <v>68847.916762511304</v>
      </c>
      <c r="G16" s="341">
        <f>SUM(G18:G22)</f>
        <v>28639.000000003318</v>
      </c>
      <c r="H16" s="342">
        <f t="shared" ref="H16" si="1">F16/G16</f>
        <v>2.4039916464437772</v>
      </c>
      <c r="I16" s="338">
        <f>SUM(I18:I22)</f>
        <v>79242.042878046283</v>
      </c>
      <c r="J16" s="339">
        <f>SUM(J18:J22)</f>
        <v>32820.408858755181</v>
      </c>
      <c r="K16" s="343">
        <f t="shared" ref="K16" si="2">I16/J16</f>
        <v>2.4144136418004329</v>
      </c>
      <c r="L16" s="338">
        <f>SUM(L18:L22)</f>
        <v>82473.318362354767</v>
      </c>
      <c r="M16" s="339">
        <f>SUM(M18:M22)</f>
        <v>34370.971575363525</v>
      </c>
      <c r="N16" s="343">
        <f t="shared" ref="N16" si="3">L16/M16</f>
        <v>2.3995050061799859</v>
      </c>
      <c r="O16" s="79">
        <v>85371.857968721684</v>
      </c>
      <c r="P16" s="79">
        <v>36724.025813181259</v>
      </c>
      <c r="Q16" s="345">
        <f t="shared" ref="Q16:Q24" si="4">O16/P16</f>
        <v>2.3246867977660388</v>
      </c>
    </row>
    <row r="17" spans="1:17" x14ac:dyDescent="0.2">
      <c r="A17" s="89"/>
      <c r="B17" s="334"/>
      <c r="C17" s="346"/>
      <c r="D17" s="347"/>
      <c r="E17" s="340"/>
      <c r="F17" s="349"/>
      <c r="G17" s="350"/>
      <c r="H17" s="342"/>
      <c r="I17" s="346"/>
      <c r="J17" s="347"/>
      <c r="K17" s="343"/>
      <c r="L17" s="346"/>
      <c r="M17" s="347"/>
      <c r="N17" s="343"/>
      <c r="Q17" s="345"/>
    </row>
    <row r="18" spans="1:17" x14ac:dyDescent="0.2">
      <c r="A18" s="89"/>
      <c r="B18" s="334" t="s">
        <v>6</v>
      </c>
      <c r="C18" s="354">
        <v>34788.564819810563</v>
      </c>
      <c r="D18" s="355">
        <v>15359.413326847736</v>
      </c>
      <c r="E18" s="356">
        <f t="shared" ref="E18:E22" si="5">C18/D18</f>
        <v>2.2649670322369233</v>
      </c>
      <c r="F18" s="357">
        <v>34920.729049173249</v>
      </c>
      <c r="G18" s="218">
        <v>15331.000000002556</v>
      </c>
      <c r="H18" s="358">
        <f t="shared" ref="H18:H22" si="6">F18/G18</f>
        <v>2.277785470560787</v>
      </c>
      <c r="I18" s="354">
        <v>40956.767625932916</v>
      </c>
      <c r="J18" s="355">
        <v>18002.51363885809</v>
      </c>
      <c r="K18" s="359">
        <f t="shared" ref="K18:K22" si="7">I18/J18</f>
        <v>2.2750582750582393</v>
      </c>
      <c r="L18" s="354">
        <v>41695.130356571688</v>
      </c>
      <c r="M18" s="355">
        <v>18595.893710883996</v>
      </c>
      <c r="N18" s="359">
        <f t="shared" ref="N18:N22" si="8">L18/M18</f>
        <v>2.2421686746987555</v>
      </c>
      <c r="O18" s="83">
        <v>43219.865057449206</v>
      </c>
      <c r="P18" s="83">
        <v>20102.486625092621</v>
      </c>
      <c r="Q18" s="360">
        <f t="shared" si="4"/>
        <v>2.1499760633344072</v>
      </c>
    </row>
    <row r="19" spans="1:17" x14ac:dyDescent="0.2">
      <c r="A19" s="89"/>
      <c r="B19" s="334" t="s">
        <v>7</v>
      </c>
      <c r="C19" s="354">
        <v>12955.40663410892</v>
      </c>
      <c r="D19" s="355">
        <v>5052.4001164084193</v>
      </c>
      <c r="E19" s="356">
        <f t="shared" si="5"/>
        <v>2.5642083634734933</v>
      </c>
      <c r="F19" s="357">
        <v>15334.695777726141</v>
      </c>
      <c r="G19" s="218">
        <v>6408.0000000006967</v>
      </c>
      <c r="H19" s="358">
        <f t="shared" si="6"/>
        <v>2.3930548966486382</v>
      </c>
      <c r="I19" s="354">
        <v>16943.396562090238</v>
      </c>
      <c r="J19" s="355">
        <v>7011.745587828691</v>
      </c>
      <c r="K19" s="359">
        <f t="shared" si="7"/>
        <v>2.416430594900842</v>
      </c>
      <c r="L19" s="354">
        <v>18798.669359698073</v>
      </c>
      <c r="M19" s="355">
        <v>7768.3998952176389</v>
      </c>
      <c r="N19" s="359">
        <f t="shared" si="8"/>
        <v>2.419889502762449</v>
      </c>
      <c r="O19" s="83">
        <v>19636.041338128667</v>
      </c>
      <c r="P19" s="83">
        <v>8125.105977538532</v>
      </c>
      <c r="Q19" s="360">
        <f t="shared" si="4"/>
        <v>2.4167120271922071</v>
      </c>
    </row>
    <row r="20" spans="1:17" x14ac:dyDescent="0.2">
      <c r="A20" s="89"/>
      <c r="B20" s="334" t="s">
        <v>8</v>
      </c>
      <c r="C20" s="354">
        <v>13737.307570793746</v>
      </c>
      <c r="D20" s="355">
        <v>4865.8296469632141</v>
      </c>
      <c r="E20" s="356">
        <f t="shared" si="5"/>
        <v>2.823219998950695</v>
      </c>
      <c r="F20" s="357">
        <v>14844.96640278966</v>
      </c>
      <c r="G20" s="218">
        <v>5478.0000000000782</v>
      </c>
      <c r="H20" s="358">
        <f t="shared" si="6"/>
        <v>2.7099244985011772</v>
      </c>
      <c r="I20" s="354">
        <v>16957.154606020766</v>
      </c>
      <c r="J20" s="355">
        <v>6166.2380385530259</v>
      </c>
      <c r="K20" s="359">
        <f t="shared" si="7"/>
        <v>2.7499999999999911</v>
      </c>
      <c r="L20" s="354">
        <v>17163.548789908571</v>
      </c>
      <c r="M20" s="355">
        <v>6278.8433599665459</v>
      </c>
      <c r="N20" s="359">
        <f t="shared" si="8"/>
        <v>2.7335526315789505</v>
      </c>
      <c r="O20" s="83">
        <v>17647.666785102127</v>
      </c>
      <c r="P20" s="83">
        <v>6507.2661662435803</v>
      </c>
      <c r="Q20" s="360">
        <f t="shared" si="4"/>
        <v>2.7119939978249752</v>
      </c>
    </row>
    <row r="21" spans="1:17" x14ac:dyDescent="0.2">
      <c r="A21" s="50"/>
      <c r="B21" s="334" t="s">
        <v>10</v>
      </c>
      <c r="C21" s="354">
        <v>1417.0915575999968</v>
      </c>
      <c r="D21" s="355">
        <v>490.57881768420009</v>
      </c>
      <c r="E21" s="356">
        <f t="shared" si="5"/>
        <v>2.8886113841796979</v>
      </c>
      <c r="F21" s="357">
        <v>1901.5902136878963</v>
      </c>
      <c r="G21" s="218">
        <v>725.99999999999341</v>
      </c>
      <c r="H21" s="358">
        <f t="shared" si="6"/>
        <v>2.6192702667877596</v>
      </c>
      <c r="I21" s="354">
        <v>2110.2436191029292</v>
      </c>
      <c r="J21" s="355">
        <v>774.40132811116769</v>
      </c>
      <c r="K21" s="359">
        <f t="shared" si="7"/>
        <v>2.7249999999999965</v>
      </c>
      <c r="L21" s="354">
        <v>2291.6824118362756</v>
      </c>
      <c r="M21" s="355">
        <v>886.40546118195414</v>
      </c>
      <c r="N21" s="359">
        <f t="shared" si="8"/>
        <v>2.5853658536585411</v>
      </c>
      <c r="O21" s="83">
        <v>2381.0284619913882</v>
      </c>
      <c r="P21" s="83">
        <v>981.85057438664819</v>
      </c>
      <c r="Q21" s="360">
        <f t="shared" si="4"/>
        <v>2.4250415736414799</v>
      </c>
    </row>
    <row r="22" spans="1:17" x14ac:dyDescent="0.2">
      <c r="A22" s="91"/>
      <c r="B22" s="334" t="s">
        <v>9</v>
      </c>
      <c r="C22" s="354">
        <v>1184.3359883859987</v>
      </c>
      <c r="D22" s="355">
        <v>428.44947808519987</v>
      </c>
      <c r="E22" s="356">
        <f t="shared" si="5"/>
        <v>2.7642372064005318</v>
      </c>
      <c r="F22" s="357">
        <v>1845.9353191343514</v>
      </c>
      <c r="G22" s="218">
        <v>695.99999999999397</v>
      </c>
      <c r="H22" s="358">
        <f t="shared" si="6"/>
        <v>2.652205918296505</v>
      </c>
      <c r="I22" s="354">
        <v>2274.4804648994314</v>
      </c>
      <c r="J22" s="355">
        <v>865.51026540420844</v>
      </c>
      <c r="K22" s="359">
        <f t="shared" si="7"/>
        <v>2.6279069767441858</v>
      </c>
      <c r="L22" s="354">
        <v>2524.2874443401624</v>
      </c>
      <c r="M22" s="355">
        <v>841.42914811338835</v>
      </c>
      <c r="N22" s="359">
        <f t="shared" si="8"/>
        <v>2.9999999999999969</v>
      </c>
      <c r="O22" s="83">
        <v>2487.2563260503021</v>
      </c>
      <c r="P22" s="83">
        <v>1007.316469919873</v>
      </c>
      <c r="Q22" s="360">
        <f t="shared" si="4"/>
        <v>2.4691905675364869</v>
      </c>
    </row>
    <row r="23" spans="1:17" x14ac:dyDescent="0.2">
      <c r="A23" s="50"/>
      <c r="B23" s="361"/>
      <c r="C23" s="346"/>
      <c r="D23" s="347"/>
      <c r="E23" s="340"/>
      <c r="F23" s="362"/>
      <c r="G23" s="347"/>
      <c r="H23" s="343"/>
      <c r="I23" s="346"/>
      <c r="J23" s="347"/>
      <c r="K23" s="343"/>
      <c r="L23" s="346"/>
      <c r="M23" s="347"/>
      <c r="N23" s="343"/>
      <c r="Q23" s="345"/>
    </row>
    <row r="24" spans="1:17" ht="12.75" customHeight="1" x14ac:dyDescent="0.2">
      <c r="A24" s="50"/>
      <c r="B24" s="363" t="s">
        <v>105</v>
      </c>
      <c r="C24" s="364">
        <v>1703.2934293008818</v>
      </c>
      <c r="D24" s="365">
        <v>887.66290570209958</v>
      </c>
      <c r="E24" s="366">
        <f>C24/D24</f>
        <v>1.9188516478039115</v>
      </c>
      <c r="F24" s="365">
        <v>2256.8377041132494</v>
      </c>
      <c r="G24" s="365">
        <v>1060.0000000000093</v>
      </c>
      <c r="H24" s="367">
        <f>F24/G24</f>
        <v>2.1290921736917259</v>
      </c>
      <c r="I24" s="364">
        <v>2304.0454219533412</v>
      </c>
      <c r="J24" s="365">
        <v>1312.6598177791445</v>
      </c>
      <c r="K24" s="367">
        <f>I24/J24</f>
        <v>1.7552494490548942</v>
      </c>
      <c r="L24" s="364">
        <v>2264.9427853669981</v>
      </c>
      <c r="M24" s="365">
        <v>1421.9670812621853</v>
      </c>
      <c r="N24" s="367">
        <f>L24/M24</f>
        <v>1.5928236421314055</v>
      </c>
      <c r="O24" s="368">
        <v>3461.5098696246469</v>
      </c>
      <c r="P24" s="368">
        <v>1653.0168495686912</v>
      </c>
      <c r="Q24" s="369">
        <f t="shared" si="4"/>
        <v>2.0940560106981558</v>
      </c>
    </row>
    <row r="25" spans="1:17" x14ac:dyDescent="0.2">
      <c r="A25" s="50"/>
      <c r="B25" s="334"/>
    </row>
    <row r="26" spans="1:17" ht="12.75" hidden="1" customHeight="1" x14ac:dyDescent="0.2">
      <c r="B26" s="334" t="s">
        <v>49</v>
      </c>
    </row>
    <row r="27" spans="1:17" ht="12.75" hidden="1" customHeight="1" x14ac:dyDescent="0.2">
      <c r="B27" s="370" t="s">
        <v>50</v>
      </c>
    </row>
    <row r="29" spans="1:17" x14ac:dyDescent="0.2">
      <c r="B29" s="66" t="s">
        <v>119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1:17" x14ac:dyDescent="0.2">
      <c r="C30" s="46"/>
      <c r="D30" s="46"/>
      <c r="E30" s="46"/>
      <c r="F30" s="46"/>
      <c r="G30" s="46"/>
      <c r="H30" s="46"/>
      <c r="I30" s="46"/>
      <c r="J30" s="46"/>
      <c r="K30" s="46"/>
    </row>
    <row r="31" spans="1:17" ht="15" x14ac:dyDescent="0.25">
      <c r="B31" s="361" t="s">
        <v>117</v>
      </c>
      <c r="C31" s="46"/>
      <c r="D31" s="46"/>
      <c r="E31" s="46"/>
      <c r="F31" s="46"/>
      <c r="G31" s="46"/>
      <c r="H31" s="46"/>
      <c r="I31" s="46"/>
      <c r="J31" s="46"/>
      <c r="K31" s="42"/>
      <c r="L31" s="42"/>
      <c r="M31" s="42"/>
      <c r="N31" s="42"/>
      <c r="O31" s="42"/>
      <c r="P31" s="42"/>
    </row>
    <row r="32" spans="1:17" ht="15" x14ac:dyDescent="0.25">
      <c r="C32" s="46"/>
      <c r="D32" s="46"/>
      <c r="E32" s="46"/>
      <c r="F32" s="46"/>
      <c r="G32" s="46"/>
      <c r="H32" s="46"/>
      <c r="I32" s="46"/>
      <c r="J32" s="46"/>
      <c r="K32" s="42"/>
      <c r="L32" s="42"/>
      <c r="M32" s="42"/>
      <c r="N32" s="42"/>
      <c r="O32" s="42"/>
      <c r="P32" s="42"/>
    </row>
    <row r="33" spans="3:16" ht="15" x14ac:dyDescent="0.25">
      <c r="C33" s="108"/>
      <c r="D33" s="108"/>
      <c r="E33" s="108"/>
      <c r="F33" s="108"/>
      <c r="G33" s="108"/>
      <c r="H33" s="108"/>
      <c r="I33" s="108"/>
      <c r="J33" s="108"/>
      <c r="K33" s="42"/>
      <c r="L33" s="42"/>
      <c r="M33" s="42"/>
      <c r="N33" s="42"/>
      <c r="O33" s="42"/>
      <c r="P33" s="42"/>
    </row>
    <row r="34" spans="3:16" ht="15" x14ac:dyDescent="0.25">
      <c r="C34" s="109"/>
      <c r="D34" s="108"/>
      <c r="E34" s="108"/>
      <c r="F34" s="108"/>
      <c r="G34" s="108"/>
      <c r="H34" s="108"/>
      <c r="I34" s="108"/>
      <c r="J34" s="108"/>
      <c r="K34" s="42"/>
      <c r="L34" s="42"/>
      <c r="M34" s="42"/>
      <c r="N34" s="42"/>
      <c r="O34" s="42"/>
      <c r="P34" s="42"/>
    </row>
    <row r="35" spans="3:16" ht="15" x14ac:dyDescent="0.25">
      <c r="C35" s="108"/>
      <c r="D35" s="108"/>
      <c r="E35" s="108"/>
      <c r="F35" s="108"/>
      <c r="G35" s="108"/>
      <c r="H35" s="108"/>
      <c r="I35" s="108"/>
      <c r="J35" s="108"/>
      <c r="K35" s="42"/>
      <c r="L35" s="42"/>
      <c r="M35" s="42"/>
      <c r="N35" s="42"/>
      <c r="O35" s="42"/>
      <c r="P35" s="42"/>
    </row>
    <row r="36" spans="3:16" ht="13.5" customHeight="1" x14ac:dyDescent="0.25">
      <c r="C36" s="108"/>
      <c r="D36" s="108"/>
      <c r="E36" s="108"/>
      <c r="F36" s="108"/>
      <c r="G36" s="108"/>
      <c r="H36" s="108"/>
      <c r="I36" s="108"/>
      <c r="J36" s="108"/>
      <c r="K36" s="42"/>
      <c r="L36" s="42"/>
      <c r="M36" s="42"/>
      <c r="N36" s="42"/>
      <c r="O36" s="42"/>
      <c r="P36" s="42"/>
    </row>
    <row r="37" spans="3:16" ht="15" x14ac:dyDescent="0.25">
      <c r="C37" s="108"/>
      <c r="D37" s="108"/>
      <c r="E37" s="108"/>
      <c r="F37" s="108"/>
      <c r="G37" s="108"/>
      <c r="H37" s="108"/>
      <c r="I37" s="108"/>
      <c r="J37" s="108"/>
      <c r="K37" s="42"/>
      <c r="L37" s="42"/>
      <c r="M37" s="42"/>
      <c r="N37" s="42"/>
      <c r="O37" s="42"/>
      <c r="P37" s="42"/>
    </row>
    <row r="38" spans="3:16" ht="13.5" customHeight="1" x14ac:dyDescent="0.25">
      <c r="C38" s="108"/>
      <c r="D38" s="108"/>
      <c r="E38" s="108"/>
      <c r="F38" s="108"/>
      <c r="G38" s="108"/>
      <c r="H38" s="108"/>
      <c r="I38" s="108"/>
      <c r="J38" s="108"/>
      <c r="K38" s="42"/>
      <c r="L38" s="42"/>
      <c r="M38" s="42"/>
      <c r="N38" s="42"/>
      <c r="O38" s="42"/>
      <c r="P38" s="42"/>
    </row>
    <row r="39" spans="3:16" ht="15" x14ac:dyDescent="0.25">
      <c r="C39" s="108"/>
      <c r="D39" s="108"/>
      <c r="E39" s="108"/>
      <c r="F39" s="108"/>
      <c r="G39" s="108"/>
      <c r="H39" s="108"/>
      <c r="I39" s="108"/>
      <c r="J39" s="108"/>
      <c r="K39" s="108"/>
    </row>
    <row r="40" spans="3:16" ht="15" x14ac:dyDescent="0.25">
      <c r="C40" s="108"/>
      <c r="D40" s="108"/>
      <c r="E40" s="108"/>
      <c r="F40" s="108"/>
      <c r="G40" s="108"/>
      <c r="H40" s="108"/>
      <c r="I40" s="108"/>
      <c r="J40" s="108"/>
      <c r="K40" s="108"/>
    </row>
    <row r="41" spans="3:16" ht="15" x14ac:dyDescent="0.25">
      <c r="C41" s="108"/>
      <c r="D41" s="108"/>
      <c r="E41" s="108"/>
      <c r="F41" s="108"/>
      <c r="G41" s="108"/>
      <c r="H41" s="108"/>
      <c r="I41" s="108"/>
      <c r="J41" s="108"/>
      <c r="K41" s="108"/>
    </row>
    <row r="42" spans="3:16" ht="15" x14ac:dyDescent="0.25">
      <c r="C42" s="108"/>
      <c r="D42" s="108"/>
      <c r="E42" s="108"/>
      <c r="F42" s="108"/>
      <c r="G42" s="108"/>
      <c r="H42" s="108"/>
      <c r="I42" s="108"/>
      <c r="J42" s="108"/>
      <c r="K42" s="108"/>
    </row>
    <row r="43" spans="3:16" x14ac:dyDescent="0.2">
      <c r="C43" s="59"/>
      <c r="D43" s="46"/>
      <c r="E43" s="46"/>
      <c r="F43" s="59"/>
      <c r="G43" s="46"/>
      <c r="H43" s="46"/>
      <c r="I43" s="59"/>
      <c r="J43" s="46"/>
      <c r="K43" s="46"/>
    </row>
    <row r="44" spans="3:16" x14ac:dyDescent="0.2">
      <c r="C44" s="46"/>
      <c r="D44" s="46"/>
      <c r="E44" s="46"/>
      <c r="F44" s="46"/>
      <c r="G44" s="46"/>
      <c r="H44" s="46"/>
      <c r="I44" s="46"/>
      <c r="J44" s="46"/>
      <c r="K44" s="46"/>
    </row>
    <row r="45" spans="3:16" ht="13.5" customHeight="1" x14ac:dyDescent="0.2">
      <c r="C45" s="46"/>
      <c r="D45" s="46"/>
      <c r="E45" s="46"/>
      <c r="F45" s="46"/>
      <c r="G45" s="46"/>
      <c r="H45" s="46"/>
      <c r="I45" s="46"/>
      <c r="J45" s="46"/>
      <c r="K45" s="46"/>
    </row>
    <row r="46" spans="3:16" ht="13.5" customHeight="1" x14ac:dyDescent="0.2">
      <c r="C46" s="46"/>
      <c r="D46" s="46"/>
      <c r="E46" s="46"/>
      <c r="F46" s="46"/>
      <c r="G46" s="46"/>
      <c r="H46" s="46"/>
      <c r="I46" s="46"/>
      <c r="J46" s="46"/>
      <c r="K46" s="46"/>
    </row>
    <row r="47" spans="3:16" x14ac:dyDescent="0.2">
      <c r="C47" s="46"/>
      <c r="D47" s="46"/>
      <c r="E47" s="46"/>
      <c r="F47" s="46"/>
      <c r="G47" s="46"/>
      <c r="H47" s="46"/>
      <c r="I47" s="46"/>
      <c r="J47" s="46"/>
      <c r="K47" s="46"/>
    </row>
    <row r="48" spans="3:16" x14ac:dyDescent="0.2">
      <c r="C48" s="46"/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C49" s="46"/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C50" s="46"/>
      <c r="D50" s="46"/>
      <c r="E50" s="46"/>
      <c r="F50" s="46"/>
      <c r="G50" s="46"/>
      <c r="H50" s="46"/>
      <c r="I50" s="46"/>
      <c r="J50" s="46"/>
      <c r="K50" s="46"/>
    </row>
    <row r="51" spans="2:11" x14ac:dyDescent="0.2">
      <c r="C51" s="46"/>
      <c r="D51" s="46"/>
      <c r="E51" s="46"/>
      <c r="F51" s="46"/>
      <c r="G51" s="46"/>
      <c r="H51" s="46"/>
      <c r="I51" s="46"/>
      <c r="J51" s="46"/>
      <c r="K51" s="46"/>
    </row>
    <row r="52" spans="2:11" x14ac:dyDescent="0.2">
      <c r="C52" s="46"/>
      <c r="D52" s="46"/>
      <c r="E52" s="46"/>
      <c r="F52" s="46"/>
      <c r="G52" s="46"/>
      <c r="H52" s="46"/>
      <c r="I52" s="46"/>
      <c r="J52" s="46"/>
      <c r="K52" s="46"/>
    </row>
    <row r="53" spans="2:11" x14ac:dyDescent="0.2">
      <c r="C53" s="46"/>
      <c r="D53" s="46"/>
      <c r="E53" s="46"/>
      <c r="F53" s="46"/>
      <c r="G53" s="46"/>
      <c r="H53" s="46"/>
      <c r="I53" s="46"/>
      <c r="J53" s="46"/>
      <c r="K53" s="46"/>
    </row>
    <row r="54" spans="2:11" ht="12.75" customHeight="1" x14ac:dyDescent="0.2">
      <c r="B54" s="374" t="s">
        <v>112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2:11" x14ac:dyDescent="0.2">
      <c r="B55" s="321"/>
      <c r="C55" s="46"/>
      <c r="D55" s="46"/>
      <c r="E55" s="46"/>
      <c r="F55" s="46"/>
      <c r="G55" s="46"/>
      <c r="H55" s="46"/>
      <c r="I55" s="46"/>
      <c r="J55" s="46"/>
      <c r="K55" s="46"/>
    </row>
    <row r="56" spans="2:11" x14ac:dyDescent="0.2">
      <c r="C56" s="46"/>
      <c r="D56" s="46"/>
      <c r="E56" s="46"/>
      <c r="F56" s="46"/>
      <c r="G56" s="46"/>
      <c r="H56" s="46"/>
      <c r="I56" s="46"/>
      <c r="J56" s="46"/>
      <c r="K56" s="46"/>
    </row>
    <row r="57" spans="2:11" ht="12" customHeight="1" x14ac:dyDescent="0.2">
      <c r="B57" s="101"/>
    </row>
  </sheetData>
  <mergeCells count="7">
    <mergeCell ref="C9:K9"/>
    <mergeCell ref="I11:K11"/>
    <mergeCell ref="F11:H11"/>
    <mergeCell ref="C11:E11"/>
    <mergeCell ref="O11:Q11"/>
    <mergeCell ref="B11:B12"/>
    <mergeCell ref="L11:N11"/>
  </mergeCells>
  <pageMargins left="0.7" right="0.7" top="0.75" bottom="0.75" header="0.3" footer="0.3"/>
  <pageSetup scale="56" orientation="landscape" r:id="rId1"/>
  <ignoredErrors>
    <ignoredError sqref="E14:E16 H14 H16 K14:K16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727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676275</xdr:colOff>
                <xdr:row>3</xdr:row>
                <xdr:rowOff>28575</xdr:rowOff>
              </to>
            </anchor>
          </objectPr>
        </oleObject>
      </mc:Choice>
      <mc:Fallback>
        <oleObject progId="MSPhotoEd.3" shapeId="7270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B3:R50"/>
  <sheetViews>
    <sheetView workbookViewId="0">
      <selection activeCell="I33" sqref="I33"/>
    </sheetView>
  </sheetViews>
  <sheetFormatPr defaultRowHeight="12.75" x14ac:dyDescent="0.2"/>
  <cols>
    <col min="1" max="1" width="9.140625" style="44"/>
    <col min="2" max="2" width="15.85546875" style="44" customWidth="1"/>
    <col min="3" max="12" width="11.140625" style="44" customWidth="1"/>
    <col min="13" max="13" width="10.28515625" style="44" bestFit="1" customWidth="1"/>
    <col min="14" max="14" width="9.28515625" style="44" bestFit="1" customWidth="1"/>
    <col min="15" max="240" width="9.140625" style="44"/>
    <col min="241" max="241" width="15.85546875" style="44" customWidth="1"/>
    <col min="242" max="242" width="8" style="44" customWidth="1"/>
    <col min="243" max="243" width="7.85546875" style="44" customWidth="1"/>
    <col min="244" max="244" width="8" style="44" customWidth="1"/>
    <col min="245" max="249" width="8.140625" style="44" customWidth="1"/>
    <col min="250" max="250" width="8.28515625" style="44" customWidth="1"/>
    <col min="251" max="251" width="1.5703125" style="44" customWidth="1"/>
    <col min="252" max="252" width="0" style="44" hidden="1" customWidth="1"/>
    <col min="253" max="496" width="9.140625" style="44"/>
    <col min="497" max="497" width="15.85546875" style="44" customWidth="1"/>
    <col min="498" max="498" width="8" style="44" customWidth="1"/>
    <col min="499" max="499" width="7.85546875" style="44" customWidth="1"/>
    <col min="500" max="500" width="8" style="44" customWidth="1"/>
    <col min="501" max="505" width="8.140625" style="44" customWidth="1"/>
    <col min="506" max="506" width="8.28515625" style="44" customWidth="1"/>
    <col min="507" max="507" width="1.5703125" style="44" customWidth="1"/>
    <col min="508" max="508" width="0" style="44" hidden="1" customWidth="1"/>
    <col min="509" max="752" width="9.140625" style="44"/>
    <col min="753" max="753" width="15.85546875" style="44" customWidth="1"/>
    <col min="754" max="754" width="8" style="44" customWidth="1"/>
    <col min="755" max="755" width="7.85546875" style="44" customWidth="1"/>
    <col min="756" max="756" width="8" style="44" customWidth="1"/>
    <col min="757" max="761" width="8.140625" style="44" customWidth="1"/>
    <col min="762" max="762" width="8.28515625" style="44" customWidth="1"/>
    <col min="763" max="763" width="1.5703125" style="44" customWidth="1"/>
    <col min="764" max="764" width="0" style="44" hidden="1" customWidth="1"/>
    <col min="765" max="1008" width="9.140625" style="44"/>
    <col min="1009" max="1009" width="15.85546875" style="44" customWidth="1"/>
    <col min="1010" max="1010" width="8" style="44" customWidth="1"/>
    <col min="1011" max="1011" width="7.85546875" style="44" customWidth="1"/>
    <col min="1012" max="1012" width="8" style="44" customWidth="1"/>
    <col min="1013" max="1017" width="8.140625" style="44" customWidth="1"/>
    <col min="1018" max="1018" width="8.28515625" style="44" customWidth="1"/>
    <col min="1019" max="1019" width="1.5703125" style="44" customWidth="1"/>
    <col min="1020" max="1020" width="0" style="44" hidden="1" customWidth="1"/>
    <col min="1021" max="1264" width="9.140625" style="44"/>
    <col min="1265" max="1265" width="15.85546875" style="44" customWidth="1"/>
    <col min="1266" max="1266" width="8" style="44" customWidth="1"/>
    <col min="1267" max="1267" width="7.85546875" style="44" customWidth="1"/>
    <col min="1268" max="1268" width="8" style="44" customWidth="1"/>
    <col min="1269" max="1273" width="8.140625" style="44" customWidth="1"/>
    <col min="1274" max="1274" width="8.28515625" style="44" customWidth="1"/>
    <col min="1275" max="1275" width="1.5703125" style="44" customWidth="1"/>
    <col min="1276" max="1276" width="0" style="44" hidden="1" customWidth="1"/>
    <col min="1277" max="1520" width="9.140625" style="44"/>
    <col min="1521" max="1521" width="15.85546875" style="44" customWidth="1"/>
    <col min="1522" max="1522" width="8" style="44" customWidth="1"/>
    <col min="1523" max="1523" width="7.85546875" style="44" customWidth="1"/>
    <col min="1524" max="1524" width="8" style="44" customWidth="1"/>
    <col min="1525" max="1529" width="8.140625" style="44" customWidth="1"/>
    <col min="1530" max="1530" width="8.28515625" style="44" customWidth="1"/>
    <col min="1531" max="1531" width="1.5703125" style="44" customWidth="1"/>
    <col min="1532" max="1532" width="0" style="44" hidden="1" customWidth="1"/>
    <col min="1533" max="1776" width="9.140625" style="44"/>
    <col min="1777" max="1777" width="15.85546875" style="44" customWidth="1"/>
    <col min="1778" max="1778" width="8" style="44" customWidth="1"/>
    <col min="1779" max="1779" width="7.85546875" style="44" customWidth="1"/>
    <col min="1780" max="1780" width="8" style="44" customWidth="1"/>
    <col min="1781" max="1785" width="8.140625" style="44" customWidth="1"/>
    <col min="1786" max="1786" width="8.28515625" style="44" customWidth="1"/>
    <col min="1787" max="1787" width="1.5703125" style="44" customWidth="1"/>
    <col min="1788" max="1788" width="0" style="44" hidden="1" customWidth="1"/>
    <col min="1789" max="2032" width="9.140625" style="44"/>
    <col min="2033" max="2033" width="15.85546875" style="44" customWidth="1"/>
    <col min="2034" max="2034" width="8" style="44" customWidth="1"/>
    <col min="2035" max="2035" width="7.85546875" style="44" customWidth="1"/>
    <col min="2036" max="2036" width="8" style="44" customWidth="1"/>
    <col min="2037" max="2041" width="8.140625" style="44" customWidth="1"/>
    <col min="2042" max="2042" width="8.28515625" style="44" customWidth="1"/>
    <col min="2043" max="2043" width="1.5703125" style="44" customWidth="1"/>
    <col min="2044" max="2044" width="0" style="44" hidden="1" customWidth="1"/>
    <col min="2045" max="2288" width="9.140625" style="44"/>
    <col min="2289" max="2289" width="15.85546875" style="44" customWidth="1"/>
    <col min="2290" max="2290" width="8" style="44" customWidth="1"/>
    <col min="2291" max="2291" width="7.85546875" style="44" customWidth="1"/>
    <col min="2292" max="2292" width="8" style="44" customWidth="1"/>
    <col min="2293" max="2297" width="8.140625" style="44" customWidth="1"/>
    <col min="2298" max="2298" width="8.28515625" style="44" customWidth="1"/>
    <col min="2299" max="2299" width="1.5703125" style="44" customWidth="1"/>
    <col min="2300" max="2300" width="0" style="44" hidden="1" customWidth="1"/>
    <col min="2301" max="2544" width="9.140625" style="44"/>
    <col min="2545" max="2545" width="15.85546875" style="44" customWidth="1"/>
    <col min="2546" max="2546" width="8" style="44" customWidth="1"/>
    <col min="2547" max="2547" width="7.85546875" style="44" customWidth="1"/>
    <col min="2548" max="2548" width="8" style="44" customWidth="1"/>
    <col min="2549" max="2553" width="8.140625" style="44" customWidth="1"/>
    <col min="2554" max="2554" width="8.28515625" style="44" customWidth="1"/>
    <col min="2555" max="2555" width="1.5703125" style="44" customWidth="1"/>
    <col min="2556" max="2556" width="0" style="44" hidden="1" customWidth="1"/>
    <col min="2557" max="2800" width="9.140625" style="44"/>
    <col min="2801" max="2801" width="15.85546875" style="44" customWidth="1"/>
    <col min="2802" max="2802" width="8" style="44" customWidth="1"/>
    <col min="2803" max="2803" width="7.85546875" style="44" customWidth="1"/>
    <col min="2804" max="2804" width="8" style="44" customWidth="1"/>
    <col min="2805" max="2809" width="8.140625" style="44" customWidth="1"/>
    <col min="2810" max="2810" width="8.28515625" style="44" customWidth="1"/>
    <col min="2811" max="2811" width="1.5703125" style="44" customWidth="1"/>
    <col min="2812" max="2812" width="0" style="44" hidden="1" customWidth="1"/>
    <col min="2813" max="3056" width="9.140625" style="44"/>
    <col min="3057" max="3057" width="15.85546875" style="44" customWidth="1"/>
    <col min="3058" max="3058" width="8" style="44" customWidth="1"/>
    <col min="3059" max="3059" width="7.85546875" style="44" customWidth="1"/>
    <col min="3060" max="3060" width="8" style="44" customWidth="1"/>
    <col min="3061" max="3065" width="8.140625" style="44" customWidth="1"/>
    <col min="3066" max="3066" width="8.28515625" style="44" customWidth="1"/>
    <col min="3067" max="3067" width="1.5703125" style="44" customWidth="1"/>
    <col min="3068" max="3068" width="0" style="44" hidden="1" customWidth="1"/>
    <col min="3069" max="3312" width="9.140625" style="44"/>
    <col min="3313" max="3313" width="15.85546875" style="44" customWidth="1"/>
    <col min="3314" max="3314" width="8" style="44" customWidth="1"/>
    <col min="3315" max="3315" width="7.85546875" style="44" customWidth="1"/>
    <col min="3316" max="3316" width="8" style="44" customWidth="1"/>
    <col min="3317" max="3321" width="8.140625" style="44" customWidth="1"/>
    <col min="3322" max="3322" width="8.28515625" style="44" customWidth="1"/>
    <col min="3323" max="3323" width="1.5703125" style="44" customWidth="1"/>
    <col min="3324" max="3324" width="0" style="44" hidden="1" customWidth="1"/>
    <col min="3325" max="3568" width="9.140625" style="44"/>
    <col min="3569" max="3569" width="15.85546875" style="44" customWidth="1"/>
    <col min="3570" max="3570" width="8" style="44" customWidth="1"/>
    <col min="3571" max="3571" width="7.85546875" style="44" customWidth="1"/>
    <col min="3572" max="3572" width="8" style="44" customWidth="1"/>
    <col min="3573" max="3577" width="8.140625" style="44" customWidth="1"/>
    <col min="3578" max="3578" width="8.28515625" style="44" customWidth="1"/>
    <col min="3579" max="3579" width="1.5703125" style="44" customWidth="1"/>
    <col min="3580" max="3580" width="0" style="44" hidden="1" customWidth="1"/>
    <col min="3581" max="3824" width="9.140625" style="44"/>
    <col min="3825" max="3825" width="15.85546875" style="44" customWidth="1"/>
    <col min="3826" max="3826" width="8" style="44" customWidth="1"/>
    <col min="3827" max="3827" width="7.85546875" style="44" customWidth="1"/>
    <col min="3828" max="3828" width="8" style="44" customWidth="1"/>
    <col min="3829" max="3833" width="8.140625" style="44" customWidth="1"/>
    <col min="3834" max="3834" width="8.28515625" style="44" customWidth="1"/>
    <col min="3835" max="3835" width="1.5703125" style="44" customWidth="1"/>
    <col min="3836" max="3836" width="0" style="44" hidden="1" customWidth="1"/>
    <col min="3837" max="4080" width="9.140625" style="44"/>
    <col min="4081" max="4081" width="15.85546875" style="44" customWidth="1"/>
    <col min="4082" max="4082" width="8" style="44" customWidth="1"/>
    <col min="4083" max="4083" width="7.85546875" style="44" customWidth="1"/>
    <col min="4084" max="4084" width="8" style="44" customWidth="1"/>
    <col min="4085" max="4089" width="8.140625" style="44" customWidth="1"/>
    <col min="4090" max="4090" width="8.28515625" style="44" customWidth="1"/>
    <col min="4091" max="4091" width="1.5703125" style="44" customWidth="1"/>
    <col min="4092" max="4092" width="0" style="44" hidden="1" customWidth="1"/>
    <col min="4093" max="4336" width="9.140625" style="44"/>
    <col min="4337" max="4337" width="15.85546875" style="44" customWidth="1"/>
    <col min="4338" max="4338" width="8" style="44" customWidth="1"/>
    <col min="4339" max="4339" width="7.85546875" style="44" customWidth="1"/>
    <col min="4340" max="4340" width="8" style="44" customWidth="1"/>
    <col min="4341" max="4345" width="8.140625" style="44" customWidth="1"/>
    <col min="4346" max="4346" width="8.28515625" style="44" customWidth="1"/>
    <col min="4347" max="4347" width="1.5703125" style="44" customWidth="1"/>
    <col min="4348" max="4348" width="0" style="44" hidden="1" customWidth="1"/>
    <col min="4349" max="4592" width="9.140625" style="44"/>
    <col min="4593" max="4593" width="15.85546875" style="44" customWidth="1"/>
    <col min="4594" max="4594" width="8" style="44" customWidth="1"/>
    <col min="4595" max="4595" width="7.85546875" style="44" customWidth="1"/>
    <col min="4596" max="4596" width="8" style="44" customWidth="1"/>
    <col min="4597" max="4601" width="8.140625" style="44" customWidth="1"/>
    <col min="4602" max="4602" width="8.28515625" style="44" customWidth="1"/>
    <col min="4603" max="4603" width="1.5703125" style="44" customWidth="1"/>
    <col min="4604" max="4604" width="0" style="44" hidden="1" customWidth="1"/>
    <col min="4605" max="4848" width="9.140625" style="44"/>
    <col min="4849" max="4849" width="15.85546875" style="44" customWidth="1"/>
    <col min="4850" max="4850" width="8" style="44" customWidth="1"/>
    <col min="4851" max="4851" width="7.85546875" style="44" customWidth="1"/>
    <col min="4852" max="4852" width="8" style="44" customWidth="1"/>
    <col min="4853" max="4857" width="8.140625" style="44" customWidth="1"/>
    <col min="4858" max="4858" width="8.28515625" style="44" customWidth="1"/>
    <col min="4859" max="4859" width="1.5703125" style="44" customWidth="1"/>
    <col min="4860" max="4860" width="0" style="44" hidden="1" customWidth="1"/>
    <col min="4861" max="5104" width="9.140625" style="44"/>
    <col min="5105" max="5105" width="15.85546875" style="44" customWidth="1"/>
    <col min="5106" max="5106" width="8" style="44" customWidth="1"/>
    <col min="5107" max="5107" width="7.85546875" style="44" customWidth="1"/>
    <col min="5108" max="5108" width="8" style="44" customWidth="1"/>
    <col min="5109" max="5113" width="8.140625" style="44" customWidth="1"/>
    <col min="5114" max="5114" width="8.28515625" style="44" customWidth="1"/>
    <col min="5115" max="5115" width="1.5703125" style="44" customWidth="1"/>
    <col min="5116" max="5116" width="0" style="44" hidden="1" customWidth="1"/>
    <col min="5117" max="5360" width="9.140625" style="44"/>
    <col min="5361" max="5361" width="15.85546875" style="44" customWidth="1"/>
    <col min="5362" max="5362" width="8" style="44" customWidth="1"/>
    <col min="5363" max="5363" width="7.85546875" style="44" customWidth="1"/>
    <col min="5364" max="5364" width="8" style="44" customWidth="1"/>
    <col min="5365" max="5369" width="8.140625" style="44" customWidth="1"/>
    <col min="5370" max="5370" width="8.28515625" style="44" customWidth="1"/>
    <col min="5371" max="5371" width="1.5703125" style="44" customWidth="1"/>
    <col min="5372" max="5372" width="0" style="44" hidden="1" customWidth="1"/>
    <col min="5373" max="5616" width="9.140625" style="44"/>
    <col min="5617" max="5617" width="15.85546875" style="44" customWidth="1"/>
    <col min="5618" max="5618" width="8" style="44" customWidth="1"/>
    <col min="5619" max="5619" width="7.85546875" style="44" customWidth="1"/>
    <col min="5620" max="5620" width="8" style="44" customWidth="1"/>
    <col min="5621" max="5625" width="8.140625" style="44" customWidth="1"/>
    <col min="5626" max="5626" width="8.28515625" style="44" customWidth="1"/>
    <col min="5627" max="5627" width="1.5703125" style="44" customWidth="1"/>
    <col min="5628" max="5628" width="0" style="44" hidden="1" customWidth="1"/>
    <col min="5629" max="5872" width="9.140625" style="44"/>
    <col min="5873" max="5873" width="15.85546875" style="44" customWidth="1"/>
    <col min="5874" max="5874" width="8" style="44" customWidth="1"/>
    <col min="5875" max="5875" width="7.85546875" style="44" customWidth="1"/>
    <col min="5876" max="5876" width="8" style="44" customWidth="1"/>
    <col min="5877" max="5881" width="8.140625" style="44" customWidth="1"/>
    <col min="5882" max="5882" width="8.28515625" style="44" customWidth="1"/>
    <col min="5883" max="5883" width="1.5703125" style="44" customWidth="1"/>
    <col min="5884" max="5884" width="0" style="44" hidden="1" customWidth="1"/>
    <col min="5885" max="6128" width="9.140625" style="44"/>
    <col min="6129" max="6129" width="15.85546875" style="44" customWidth="1"/>
    <col min="6130" max="6130" width="8" style="44" customWidth="1"/>
    <col min="6131" max="6131" width="7.85546875" style="44" customWidth="1"/>
    <col min="6132" max="6132" width="8" style="44" customWidth="1"/>
    <col min="6133" max="6137" width="8.140625" style="44" customWidth="1"/>
    <col min="6138" max="6138" width="8.28515625" style="44" customWidth="1"/>
    <col min="6139" max="6139" width="1.5703125" style="44" customWidth="1"/>
    <col min="6140" max="6140" width="0" style="44" hidden="1" customWidth="1"/>
    <col min="6141" max="6384" width="9.140625" style="44"/>
    <col min="6385" max="6385" width="15.85546875" style="44" customWidth="1"/>
    <col min="6386" max="6386" width="8" style="44" customWidth="1"/>
    <col min="6387" max="6387" width="7.85546875" style="44" customWidth="1"/>
    <col min="6388" max="6388" width="8" style="44" customWidth="1"/>
    <col min="6389" max="6393" width="8.140625" style="44" customWidth="1"/>
    <col min="6394" max="6394" width="8.28515625" style="44" customWidth="1"/>
    <col min="6395" max="6395" width="1.5703125" style="44" customWidth="1"/>
    <col min="6396" max="6396" width="0" style="44" hidden="1" customWidth="1"/>
    <col min="6397" max="6640" width="9.140625" style="44"/>
    <col min="6641" max="6641" width="15.85546875" style="44" customWidth="1"/>
    <col min="6642" max="6642" width="8" style="44" customWidth="1"/>
    <col min="6643" max="6643" width="7.85546875" style="44" customWidth="1"/>
    <col min="6644" max="6644" width="8" style="44" customWidth="1"/>
    <col min="6645" max="6649" width="8.140625" style="44" customWidth="1"/>
    <col min="6650" max="6650" width="8.28515625" style="44" customWidth="1"/>
    <col min="6651" max="6651" width="1.5703125" style="44" customWidth="1"/>
    <col min="6652" max="6652" width="0" style="44" hidden="1" customWidth="1"/>
    <col min="6653" max="6896" width="9.140625" style="44"/>
    <col min="6897" max="6897" width="15.85546875" style="44" customWidth="1"/>
    <col min="6898" max="6898" width="8" style="44" customWidth="1"/>
    <col min="6899" max="6899" width="7.85546875" style="44" customWidth="1"/>
    <col min="6900" max="6900" width="8" style="44" customWidth="1"/>
    <col min="6901" max="6905" width="8.140625" style="44" customWidth="1"/>
    <col min="6906" max="6906" width="8.28515625" style="44" customWidth="1"/>
    <col min="6907" max="6907" width="1.5703125" style="44" customWidth="1"/>
    <col min="6908" max="6908" width="0" style="44" hidden="1" customWidth="1"/>
    <col min="6909" max="7152" width="9.140625" style="44"/>
    <col min="7153" max="7153" width="15.85546875" style="44" customWidth="1"/>
    <col min="7154" max="7154" width="8" style="44" customWidth="1"/>
    <col min="7155" max="7155" width="7.85546875" style="44" customWidth="1"/>
    <col min="7156" max="7156" width="8" style="44" customWidth="1"/>
    <col min="7157" max="7161" width="8.140625" style="44" customWidth="1"/>
    <col min="7162" max="7162" width="8.28515625" style="44" customWidth="1"/>
    <col min="7163" max="7163" width="1.5703125" style="44" customWidth="1"/>
    <col min="7164" max="7164" width="0" style="44" hidden="1" customWidth="1"/>
    <col min="7165" max="7408" width="9.140625" style="44"/>
    <col min="7409" max="7409" width="15.85546875" style="44" customWidth="1"/>
    <col min="7410" max="7410" width="8" style="44" customWidth="1"/>
    <col min="7411" max="7411" width="7.85546875" style="44" customWidth="1"/>
    <col min="7412" max="7412" width="8" style="44" customWidth="1"/>
    <col min="7413" max="7417" width="8.140625" style="44" customWidth="1"/>
    <col min="7418" max="7418" width="8.28515625" style="44" customWidth="1"/>
    <col min="7419" max="7419" width="1.5703125" style="44" customWidth="1"/>
    <col min="7420" max="7420" width="0" style="44" hidden="1" customWidth="1"/>
    <col min="7421" max="7664" width="9.140625" style="44"/>
    <col min="7665" max="7665" width="15.85546875" style="44" customWidth="1"/>
    <col min="7666" max="7666" width="8" style="44" customWidth="1"/>
    <col min="7667" max="7667" width="7.85546875" style="44" customWidth="1"/>
    <col min="7668" max="7668" width="8" style="44" customWidth="1"/>
    <col min="7669" max="7673" width="8.140625" style="44" customWidth="1"/>
    <col min="7674" max="7674" width="8.28515625" style="44" customWidth="1"/>
    <col min="7675" max="7675" width="1.5703125" style="44" customWidth="1"/>
    <col min="7676" max="7676" width="0" style="44" hidden="1" customWidth="1"/>
    <col min="7677" max="7920" width="9.140625" style="44"/>
    <col min="7921" max="7921" width="15.85546875" style="44" customWidth="1"/>
    <col min="7922" max="7922" width="8" style="44" customWidth="1"/>
    <col min="7923" max="7923" width="7.85546875" style="44" customWidth="1"/>
    <col min="7924" max="7924" width="8" style="44" customWidth="1"/>
    <col min="7925" max="7929" width="8.140625" style="44" customWidth="1"/>
    <col min="7930" max="7930" width="8.28515625" style="44" customWidth="1"/>
    <col min="7931" max="7931" width="1.5703125" style="44" customWidth="1"/>
    <col min="7932" max="7932" width="0" style="44" hidden="1" customWidth="1"/>
    <col min="7933" max="8176" width="9.140625" style="44"/>
    <col min="8177" max="8177" width="15.85546875" style="44" customWidth="1"/>
    <col min="8178" max="8178" width="8" style="44" customWidth="1"/>
    <col min="8179" max="8179" width="7.85546875" style="44" customWidth="1"/>
    <col min="8180" max="8180" width="8" style="44" customWidth="1"/>
    <col min="8181" max="8185" width="8.140625" style="44" customWidth="1"/>
    <col min="8186" max="8186" width="8.28515625" style="44" customWidth="1"/>
    <col min="8187" max="8187" width="1.5703125" style="44" customWidth="1"/>
    <col min="8188" max="8188" width="0" style="44" hidden="1" customWidth="1"/>
    <col min="8189" max="8432" width="9.140625" style="44"/>
    <col min="8433" max="8433" width="15.85546875" style="44" customWidth="1"/>
    <col min="8434" max="8434" width="8" style="44" customWidth="1"/>
    <col min="8435" max="8435" width="7.85546875" style="44" customWidth="1"/>
    <col min="8436" max="8436" width="8" style="44" customWidth="1"/>
    <col min="8437" max="8441" width="8.140625" style="44" customWidth="1"/>
    <col min="8442" max="8442" width="8.28515625" style="44" customWidth="1"/>
    <col min="8443" max="8443" width="1.5703125" style="44" customWidth="1"/>
    <col min="8444" max="8444" width="0" style="44" hidden="1" customWidth="1"/>
    <col min="8445" max="8688" width="9.140625" style="44"/>
    <col min="8689" max="8689" width="15.85546875" style="44" customWidth="1"/>
    <col min="8690" max="8690" width="8" style="44" customWidth="1"/>
    <col min="8691" max="8691" width="7.85546875" style="44" customWidth="1"/>
    <col min="8692" max="8692" width="8" style="44" customWidth="1"/>
    <col min="8693" max="8697" width="8.140625" style="44" customWidth="1"/>
    <col min="8698" max="8698" width="8.28515625" style="44" customWidth="1"/>
    <col min="8699" max="8699" width="1.5703125" style="44" customWidth="1"/>
    <col min="8700" max="8700" width="0" style="44" hidden="1" customWidth="1"/>
    <col min="8701" max="8944" width="9.140625" style="44"/>
    <col min="8945" max="8945" width="15.85546875" style="44" customWidth="1"/>
    <col min="8946" max="8946" width="8" style="44" customWidth="1"/>
    <col min="8947" max="8947" width="7.85546875" style="44" customWidth="1"/>
    <col min="8948" max="8948" width="8" style="44" customWidth="1"/>
    <col min="8949" max="8953" width="8.140625" style="44" customWidth="1"/>
    <col min="8954" max="8954" width="8.28515625" style="44" customWidth="1"/>
    <col min="8955" max="8955" width="1.5703125" style="44" customWidth="1"/>
    <col min="8956" max="8956" width="0" style="44" hidden="1" customWidth="1"/>
    <col min="8957" max="9200" width="9.140625" style="44"/>
    <col min="9201" max="9201" width="15.85546875" style="44" customWidth="1"/>
    <col min="9202" max="9202" width="8" style="44" customWidth="1"/>
    <col min="9203" max="9203" width="7.85546875" style="44" customWidth="1"/>
    <col min="9204" max="9204" width="8" style="44" customWidth="1"/>
    <col min="9205" max="9209" width="8.140625" style="44" customWidth="1"/>
    <col min="9210" max="9210" width="8.28515625" style="44" customWidth="1"/>
    <col min="9211" max="9211" width="1.5703125" style="44" customWidth="1"/>
    <col min="9212" max="9212" width="0" style="44" hidden="1" customWidth="1"/>
    <col min="9213" max="9456" width="9.140625" style="44"/>
    <col min="9457" max="9457" width="15.85546875" style="44" customWidth="1"/>
    <col min="9458" max="9458" width="8" style="44" customWidth="1"/>
    <col min="9459" max="9459" width="7.85546875" style="44" customWidth="1"/>
    <col min="9460" max="9460" width="8" style="44" customWidth="1"/>
    <col min="9461" max="9465" width="8.140625" style="44" customWidth="1"/>
    <col min="9466" max="9466" width="8.28515625" style="44" customWidth="1"/>
    <col min="9467" max="9467" width="1.5703125" style="44" customWidth="1"/>
    <col min="9468" max="9468" width="0" style="44" hidden="1" customWidth="1"/>
    <col min="9469" max="9712" width="9.140625" style="44"/>
    <col min="9713" max="9713" width="15.85546875" style="44" customWidth="1"/>
    <col min="9714" max="9714" width="8" style="44" customWidth="1"/>
    <col min="9715" max="9715" width="7.85546875" style="44" customWidth="1"/>
    <col min="9716" max="9716" width="8" style="44" customWidth="1"/>
    <col min="9717" max="9721" width="8.140625" style="44" customWidth="1"/>
    <col min="9722" max="9722" width="8.28515625" style="44" customWidth="1"/>
    <col min="9723" max="9723" width="1.5703125" style="44" customWidth="1"/>
    <col min="9724" max="9724" width="0" style="44" hidden="1" customWidth="1"/>
    <col min="9725" max="9968" width="9.140625" style="44"/>
    <col min="9969" max="9969" width="15.85546875" style="44" customWidth="1"/>
    <col min="9970" max="9970" width="8" style="44" customWidth="1"/>
    <col min="9971" max="9971" width="7.85546875" style="44" customWidth="1"/>
    <col min="9972" max="9972" width="8" style="44" customWidth="1"/>
    <col min="9973" max="9977" width="8.140625" style="44" customWidth="1"/>
    <col min="9978" max="9978" width="8.28515625" style="44" customWidth="1"/>
    <col min="9979" max="9979" width="1.5703125" style="44" customWidth="1"/>
    <col min="9980" max="9980" width="0" style="44" hidden="1" customWidth="1"/>
    <col min="9981" max="10224" width="9.140625" style="44"/>
    <col min="10225" max="10225" width="15.85546875" style="44" customWidth="1"/>
    <col min="10226" max="10226" width="8" style="44" customWidth="1"/>
    <col min="10227" max="10227" width="7.85546875" style="44" customWidth="1"/>
    <col min="10228" max="10228" width="8" style="44" customWidth="1"/>
    <col min="10229" max="10233" width="8.140625" style="44" customWidth="1"/>
    <col min="10234" max="10234" width="8.28515625" style="44" customWidth="1"/>
    <col min="10235" max="10235" width="1.5703125" style="44" customWidth="1"/>
    <col min="10236" max="10236" width="0" style="44" hidden="1" customWidth="1"/>
    <col min="10237" max="10480" width="9.140625" style="44"/>
    <col min="10481" max="10481" width="15.85546875" style="44" customWidth="1"/>
    <col min="10482" max="10482" width="8" style="44" customWidth="1"/>
    <col min="10483" max="10483" width="7.85546875" style="44" customWidth="1"/>
    <col min="10484" max="10484" width="8" style="44" customWidth="1"/>
    <col min="10485" max="10489" width="8.140625" style="44" customWidth="1"/>
    <col min="10490" max="10490" width="8.28515625" style="44" customWidth="1"/>
    <col min="10491" max="10491" width="1.5703125" style="44" customWidth="1"/>
    <col min="10492" max="10492" width="0" style="44" hidden="1" customWidth="1"/>
    <col min="10493" max="10736" width="9.140625" style="44"/>
    <col min="10737" max="10737" width="15.85546875" style="44" customWidth="1"/>
    <col min="10738" max="10738" width="8" style="44" customWidth="1"/>
    <col min="10739" max="10739" width="7.85546875" style="44" customWidth="1"/>
    <col min="10740" max="10740" width="8" style="44" customWidth="1"/>
    <col min="10741" max="10745" width="8.140625" style="44" customWidth="1"/>
    <col min="10746" max="10746" width="8.28515625" style="44" customWidth="1"/>
    <col min="10747" max="10747" width="1.5703125" style="44" customWidth="1"/>
    <col min="10748" max="10748" width="0" style="44" hidden="1" customWidth="1"/>
    <col min="10749" max="10992" width="9.140625" style="44"/>
    <col min="10993" max="10993" width="15.85546875" style="44" customWidth="1"/>
    <col min="10994" max="10994" width="8" style="44" customWidth="1"/>
    <col min="10995" max="10995" width="7.85546875" style="44" customWidth="1"/>
    <col min="10996" max="10996" width="8" style="44" customWidth="1"/>
    <col min="10997" max="11001" width="8.140625" style="44" customWidth="1"/>
    <col min="11002" max="11002" width="8.28515625" style="44" customWidth="1"/>
    <col min="11003" max="11003" width="1.5703125" style="44" customWidth="1"/>
    <col min="11004" max="11004" width="0" style="44" hidden="1" customWidth="1"/>
    <col min="11005" max="11248" width="9.140625" style="44"/>
    <col min="11249" max="11249" width="15.85546875" style="44" customWidth="1"/>
    <col min="11250" max="11250" width="8" style="44" customWidth="1"/>
    <col min="11251" max="11251" width="7.85546875" style="44" customWidth="1"/>
    <col min="11252" max="11252" width="8" style="44" customWidth="1"/>
    <col min="11253" max="11257" width="8.140625" style="44" customWidth="1"/>
    <col min="11258" max="11258" width="8.28515625" style="44" customWidth="1"/>
    <col min="11259" max="11259" width="1.5703125" style="44" customWidth="1"/>
    <col min="11260" max="11260" width="0" style="44" hidden="1" customWidth="1"/>
    <col min="11261" max="11504" width="9.140625" style="44"/>
    <col min="11505" max="11505" width="15.85546875" style="44" customWidth="1"/>
    <col min="11506" max="11506" width="8" style="44" customWidth="1"/>
    <col min="11507" max="11507" width="7.85546875" style="44" customWidth="1"/>
    <col min="11508" max="11508" width="8" style="44" customWidth="1"/>
    <col min="11509" max="11513" width="8.140625" style="44" customWidth="1"/>
    <col min="11514" max="11514" width="8.28515625" style="44" customWidth="1"/>
    <col min="11515" max="11515" width="1.5703125" style="44" customWidth="1"/>
    <col min="11516" max="11516" width="0" style="44" hidden="1" customWidth="1"/>
    <col min="11517" max="11760" width="9.140625" style="44"/>
    <col min="11761" max="11761" width="15.85546875" style="44" customWidth="1"/>
    <col min="11762" max="11762" width="8" style="44" customWidth="1"/>
    <col min="11763" max="11763" width="7.85546875" style="44" customWidth="1"/>
    <col min="11764" max="11764" width="8" style="44" customWidth="1"/>
    <col min="11765" max="11769" width="8.140625" style="44" customWidth="1"/>
    <col min="11770" max="11770" width="8.28515625" style="44" customWidth="1"/>
    <col min="11771" max="11771" width="1.5703125" style="44" customWidth="1"/>
    <col min="11772" max="11772" width="0" style="44" hidden="1" customWidth="1"/>
    <col min="11773" max="12016" width="9.140625" style="44"/>
    <col min="12017" max="12017" width="15.85546875" style="44" customWidth="1"/>
    <col min="12018" max="12018" width="8" style="44" customWidth="1"/>
    <col min="12019" max="12019" width="7.85546875" style="44" customWidth="1"/>
    <col min="12020" max="12020" width="8" style="44" customWidth="1"/>
    <col min="12021" max="12025" width="8.140625" style="44" customWidth="1"/>
    <col min="12026" max="12026" width="8.28515625" style="44" customWidth="1"/>
    <col min="12027" max="12027" width="1.5703125" style="44" customWidth="1"/>
    <col min="12028" max="12028" width="0" style="44" hidden="1" customWidth="1"/>
    <col min="12029" max="12272" width="9.140625" style="44"/>
    <col min="12273" max="12273" width="15.85546875" style="44" customWidth="1"/>
    <col min="12274" max="12274" width="8" style="44" customWidth="1"/>
    <col min="12275" max="12275" width="7.85546875" style="44" customWidth="1"/>
    <col min="12276" max="12276" width="8" style="44" customWidth="1"/>
    <col min="12277" max="12281" width="8.140625" style="44" customWidth="1"/>
    <col min="12282" max="12282" width="8.28515625" style="44" customWidth="1"/>
    <col min="12283" max="12283" width="1.5703125" style="44" customWidth="1"/>
    <col min="12284" max="12284" width="0" style="44" hidden="1" customWidth="1"/>
    <col min="12285" max="12528" width="9.140625" style="44"/>
    <col min="12529" max="12529" width="15.85546875" style="44" customWidth="1"/>
    <col min="12530" max="12530" width="8" style="44" customWidth="1"/>
    <col min="12531" max="12531" width="7.85546875" style="44" customWidth="1"/>
    <col min="12532" max="12532" width="8" style="44" customWidth="1"/>
    <col min="12533" max="12537" width="8.140625" style="44" customWidth="1"/>
    <col min="12538" max="12538" width="8.28515625" style="44" customWidth="1"/>
    <col min="12539" max="12539" width="1.5703125" style="44" customWidth="1"/>
    <col min="12540" max="12540" width="0" style="44" hidden="1" customWidth="1"/>
    <col min="12541" max="12784" width="9.140625" style="44"/>
    <col min="12785" max="12785" width="15.85546875" style="44" customWidth="1"/>
    <col min="12786" max="12786" width="8" style="44" customWidth="1"/>
    <col min="12787" max="12787" width="7.85546875" style="44" customWidth="1"/>
    <col min="12788" max="12788" width="8" style="44" customWidth="1"/>
    <col min="12789" max="12793" width="8.140625" style="44" customWidth="1"/>
    <col min="12794" max="12794" width="8.28515625" style="44" customWidth="1"/>
    <col min="12795" max="12795" width="1.5703125" style="44" customWidth="1"/>
    <col min="12796" max="12796" width="0" style="44" hidden="1" customWidth="1"/>
    <col min="12797" max="13040" width="9.140625" style="44"/>
    <col min="13041" max="13041" width="15.85546875" style="44" customWidth="1"/>
    <col min="13042" max="13042" width="8" style="44" customWidth="1"/>
    <col min="13043" max="13043" width="7.85546875" style="44" customWidth="1"/>
    <col min="13044" max="13044" width="8" style="44" customWidth="1"/>
    <col min="13045" max="13049" width="8.140625" style="44" customWidth="1"/>
    <col min="13050" max="13050" width="8.28515625" style="44" customWidth="1"/>
    <col min="13051" max="13051" width="1.5703125" style="44" customWidth="1"/>
    <col min="13052" max="13052" width="0" style="44" hidden="1" customWidth="1"/>
    <col min="13053" max="13296" width="9.140625" style="44"/>
    <col min="13297" max="13297" width="15.85546875" style="44" customWidth="1"/>
    <col min="13298" max="13298" width="8" style="44" customWidth="1"/>
    <col min="13299" max="13299" width="7.85546875" style="44" customWidth="1"/>
    <col min="13300" max="13300" width="8" style="44" customWidth="1"/>
    <col min="13301" max="13305" width="8.140625" style="44" customWidth="1"/>
    <col min="13306" max="13306" width="8.28515625" style="44" customWidth="1"/>
    <col min="13307" max="13307" width="1.5703125" style="44" customWidth="1"/>
    <col min="13308" max="13308" width="0" style="44" hidden="1" customWidth="1"/>
    <col min="13309" max="13552" width="9.140625" style="44"/>
    <col min="13553" max="13553" width="15.85546875" style="44" customWidth="1"/>
    <col min="13554" max="13554" width="8" style="44" customWidth="1"/>
    <col min="13555" max="13555" width="7.85546875" style="44" customWidth="1"/>
    <col min="13556" max="13556" width="8" style="44" customWidth="1"/>
    <col min="13557" max="13561" width="8.140625" style="44" customWidth="1"/>
    <col min="13562" max="13562" width="8.28515625" style="44" customWidth="1"/>
    <col min="13563" max="13563" width="1.5703125" style="44" customWidth="1"/>
    <col min="13564" max="13564" width="0" style="44" hidden="1" customWidth="1"/>
    <col min="13565" max="13808" width="9.140625" style="44"/>
    <col min="13809" max="13809" width="15.85546875" style="44" customWidth="1"/>
    <col min="13810" max="13810" width="8" style="44" customWidth="1"/>
    <col min="13811" max="13811" width="7.85546875" style="44" customWidth="1"/>
    <col min="13812" max="13812" width="8" style="44" customWidth="1"/>
    <col min="13813" max="13817" width="8.140625" style="44" customWidth="1"/>
    <col min="13818" max="13818" width="8.28515625" style="44" customWidth="1"/>
    <col min="13819" max="13819" width="1.5703125" style="44" customWidth="1"/>
    <col min="13820" max="13820" width="0" style="44" hidden="1" customWidth="1"/>
    <col min="13821" max="14064" width="9.140625" style="44"/>
    <col min="14065" max="14065" width="15.85546875" style="44" customWidth="1"/>
    <col min="14066" max="14066" width="8" style="44" customWidth="1"/>
    <col min="14067" max="14067" width="7.85546875" style="44" customWidth="1"/>
    <col min="14068" max="14068" width="8" style="44" customWidth="1"/>
    <col min="14069" max="14073" width="8.140625" style="44" customWidth="1"/>
    <col min="14074" max="14074" width="8.28515625" style="44" customWidth="1"/>
    <col min="14075" max="14075" width="1.5703125" style="44" customWidth="1"/>
    <col min="14076" max="14076" width="0" style="44" hidden="1" customWidth="1"/>
    <col min="14077" max="14320" width="9.140625" style="44"/>
    <col min="14321" max="14321" width="15.85546875" style="44" customWidth="1"/>
    <col min="14322" max="14322" width="8" style="44" customWidth="1"/>
    <col min="14323" max="14323" width="7.85546875" style="44" customWidth="1"/>
    <col min="14324" max="14324" width="8" style="44" customWidth="1"/>
    <col min="14325" max="14329" width="8.140625" style="44" customWidth="1"/>
    <col min="14330" max="14330" width="8.28515625" style="44" customWidth="1"/>
    <col min="14331" max="14331" width="1.5703125" style="44" customWidth="1"/>
    <col min="14332" max="14332" width="0" style="44" hidden="1" customWidth="1"/>
    <col min="14333" max="14576" width="9.140625" style="44"/>
    <col min="14577" max="14577" width="15.85546875" style="44" customWidth="1"/>
    <col min="14578" max="14578" width="8" style="44" customWidth="1"/>
    <col min="14579" max="14579" width="7.85546875" style="44" customWidth="1"/>
    <col min="14580" max="14580" width="8" style="44" customWidth="1"/>
    <col min="14581" max="14585" width="8.140625" style="44" customWidth="1"/>
    <col min="14586" max="14586" width="8.28515625" style="44" customWidth="1"/>
    <col min="14587" max="14587" width="1.5703125" style="44" customWidth="1"/>
    <col min="14588" max="14588" width="0" style="44" hidden="1" customWidth="1"/>
    <col min="14589" max="14832" width="9.140625" style="44"/>
    <col min="14833" max="14833" width="15.85546875" style="44" customWidth="1"/>
    <col min="14834" max="14834" width="8" style="44" customWidth="1"/>
    <col min="14835" max="14835" width="7.85546875" style="44" customWidth="1"/>
    <col min="14836" max="14836" width="8" style="44" customWidth="1"/>
    <col min="14837" max="14841" width="8.140625" style="44" customWidth="1"/>
    <col min="14842" max="14842" width="8.28515625" style="44" customWidth="1"/>
    <col min="14843" max="14843" width="1.5703125" style="44" customWidth="1"/>
    <col min="14844" max="14844" width="0" style="44" hidden="1" customWidth="1"/>
    <col min="14845" max="15088" width="9.140625" style="44"/>
    <col min="15089" max="15089" width="15.85546875" style="44" customWidth="1"/>
    <col min="15090" max="15090" width="8" style="44" customWidth="1"/>
    <col min="15091" max="15091" width="7.85546875" style="44" customWidth="1"/>
    <col min="15092" max="15092" width="8" style="44" customWidth="1"/>
    <col min="15093" max="15097" width="8.140625" style="44" customWidth="1"/>
    <col min="15098" max="15098" width="8.28515625" style="44" customWidth="1"/>
    <col min="15099" max="15099" width="1.5703125" style="44" customWidth="1"/>
    <col min="15100" max="15100" width="0" style="44" hidden="1" customWidth="1"/>
    <col min="15101" max="15344" width="9.140625" style="44"/>
    <col min="15345" max="15345" width="15.85546875" style="44" customWidth="1"/>
    <col min="15346" max="15346" width="8" style="44" customWidth="1"/>
    <col min="15347" max="15347" width="7.85546875" style="44" customWidth="1"/>
    <col min="15348" max="15348" width="8" style="44" customWidth="1"/>
    <col min="15349" max="15353" width="8.140625" style="44" customWidth="1"/>
    <col min="15354" max="15354" width="8.28515625" style="44" customWidth="1"/>
    <col min="15355" max="15355" width="1.5703125" style="44" customWidth="1"/>
    <col min="15356" max="15356" width="0" style="44" hidden="1" customWidth="1"/>
    <col min="15357" max="15600" width="9.140625" style="44"/>
    <col min="15601" max="15601" width="15.85546875" style="44" customWidth="1"/>
    <col min="15602" max="15602" width="8" style="44" customWidth="1"/>
    <col min="15603" max="15603" width="7.85546875" style="44" customWidth="1"/>
    <col min="15604" max="15604" width="8" style="44" customWidth="1"/>
    <col min="15605" max="15609" width="8.140625" style="44" customWidth="1"/>
    <col min="15610" max="15610" width="8.28515625" style="44" customWidth="1"/>
    <col min="15611" max="15611" width="1.5703125" style="44" customWidth="1"/>
    <col min="15612" max="15612" width="0" style="44" hidden="1" customWidth="1"/>
    <col min="15613" max="15856" width="9.140625" style="44"/>
    <col min="15857" max="15857" width="15.85546875" style="44" customWidth="1"/>
    <col min="15858" max="15858" width="8" style="44" customWidth="1"/>
    <col min="15859" max="15859" width="7.85546875" style="44" customWidth="1"/>
    <col min="15860" max="15860" width="8" style="44" customWidth="1"/>
    <col min="15861" max="15865" width="8.140625" style="44" customWidth="1"/>
    <col min="15866" max="15866" width="8.28515625" style="44" customWidth="1"/>
    <col min="15867" max="15867" width="1.5703125" style="44" customWidth="1"/>
    <col min="15868" max="15868" width="0" style="44" hidden="1" customWidth="1"/>
    <col min="15869" max="16112" width="9.140625" style="44"/>
    <col min="16113" max="16113" width="15.85546875" style="44" customWidth="1"/>
    <col min="16114" max="16114" width="8" style="44" customWidth="1"/>
    <col min="16115" max="16115" width="7.85546875" style="44" customWidth="1"/>
    <col min="16116" max="16116" width="8" style="44" customWidth="1"/>
    <col min="16117" max="16121" width="8.140625" style="44" customWidth="1"/>
    <col min="16122" max="16122" width="8.28515625" style="44" customWidth="1"/>
    <col min="16123" max="16123" width="1.5703125" style="44" customWidth="1"/>
    <col min="16124" max="16124" width="0" style="44" hidden="1" customWidth="1"/>
    <col min="16125" max="16384" width="9.140625" style="44"/>
  </cols>
  <sheetData>
    <row r="3" spans="2:18" x14ac:dyDescent="0.2">
      <c r="H3" s="65" t="s">
        <v>314</v>
      </c>
    </row>
    <row r="5" spans="2:18" x14ac:dyDescent="0.2">
      <c r="C5" s="396" t="s">
        <v>315</v>
      </c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</row>
    <row r="6" spans="2:18" x14ac:dyDescent="0.2"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8" x14ac:dyDescent="0.2">
      <c r="B7" s="58">
        <v>1.1499999999999999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8" x14ac:dyDescent="0.2">
      <c r="B8" s="415"/>
      <c r="C8" s="376">
        <v>2019</v>
      </c>
      <c r="D8" s="376"/>
      <c r="E8" s="376">
        <v>2020</v>
      </c>
      <c r="F8" s="376"/>
      <c r="G8" s="376">
        <v>2021</v>
      </c>
      <c r="H8" s="376"/>
      <c r="I8" s="376">
        <v>2022</v>
      </c>
      <c r="J8" s="376"/>
      <c r="K8" s="376">
        <v>2023</v>
      </c>
      <c r="L8" s="376"/>
      <c r="M8" s="376">
        <v>2024</v>
      </c>
      <c r="N8" s="376"/>
    </row>
    <row r="9" spans="2:18" s="111" customFormat="1" x14ac:dyDescent="0.2">
      <c r="B9" s="416"/>
      <c r="C9" s="319" t="s">
        <v>66</v>
      </c>
      <c r="D9" s="319" t="s">
        <v>67</v>
      </c>
      <c r="E9" s="319" t="s">
        <v>66</v>
      </c>
      <c r="F9" s="319" t="s">
        <v>67</v>
      </c>
      <c r="G9" s="319" t="s">
        <v>66</v>
      </c>
      <c r="H9" s="319" t="s">
        <v>67</v>
      </c>
      <c r="I9" s="319" t="s">
        <v>66</v>
      </c>
      <c r="J9" s="319" t="s">
        <v>67</v>
      </c>
      <c r="K9" s="319" t="s">
        <v>66</v>
      </c>
      <c r="L9" s="319" t="s">
        <v>67</v>
      </c>
      <c r="M9" s="319" t="s">
        <v>66</v>
      </c>
      <c r="N9" s="319" t="s">
        <v>67</v>
      </c>
    </row>
    <row r="10" spans="2:18" x14ac:dyDescent="0.2">
      <c r="B10" s="334"/>
    </row>
    <row r="11" spans="2:18" x14ac:dyDescent="0.2">
      <c r="B11" s="73" t="s">
        <v>103</v>
      </c>
      <c r="C11" s="373">
        <f t="shared" ref="C11:H11" si="0">C13+C21</f>
        <v>28834</v>
      </c>
      <c r="D11" s="342">
        <f t="shared" si="0"/>
        <v>100</v>
      </c>
      <c r="E11" s="373">
        <f t="shared" si="0"/>
        <v>27084.33429169087</v>
      </c>
      <c r="F11" s="342">
        <f t="shared" si="0"/>
        <v>100</v>
      </c>
      <c r="G11" s="373">
        <f t="shared" si="0"/>
        <v>29699.000000003329</v>
      </c>
      <c r="H11" s="342">
        <f t="shared" si="0"/>
        <v>100</v>
      </c>
      <c r="I11" s="373">
        <f t="shared" ref="I11:J11" si="1">I13+I21</f>
        <v>34133.068676534327</v>
      </c>
      <c r="J11" s="342">
        <f t="shared" si="1"/>
        <v>100</v>
      </c>
      <c r="K11" s="373">
        <f t="shared" ref="K11" si="2">K13+K21</f>
        <v>35792.938656625709</v>
      </c>
      <c r="L11" s="342">
        <f>L13+L21</f>
        <v>100</v>
      </c>
      <c r="M11" s="79">
        <v>38377.042662750253</v>
      </c>
      <c r="N11" s="79">
        <f>N13+N21</f>
        <v>99.999999999999218</v>
      </c>
    </row>
    <row r="12" spans="2:18" x14ac:dyDescent="0.2">
      <c r="B12" s="334"/>
      <c r="C12" s="83"/>
      <c r="D12" s="351"/>
      <c r="E12" s="83"/>
      <c r="F12" s="351"/>
      <c r="G12" s="83"/>
      <c r="H12" s="351"/>
      <c r="I12" s="83"/>
      <c r="J12" s="351"/>
      <c r="K12" s="83"/>
      <c r="L12" s="351"/>
      <c r="M12" s="79"/>
      <c r="N12" s="79"/>
    </row>
    <row r="13" spans="2:18" x14ac:dyDescent="0.2">
      <c r="B13" s="73" t="s">
        <v>104</v>
      </c>
      <c r="C13" s="373">
        <f>SUM(C15:C19)</f>
        <v>27667</v>
      </c>
      <c r="D13" s="342">
        <f>C13/C11*100</f>
        <v>95.95269473538184</v>
      </c>
      <c r="E13" s="373">
        <f>SUM(E15:E19)</f>
        <v>26196.671385988771</v>
      </c>
      <c r="F13" s="342">
        <f>E13/E11*100</f>
        <v>96.722596552892114</v>
      </c>
      <c r="G13" s="373">
        <f>SUM(G15:G19)</f>
        <v>28639.000000003318</v>
      </c>
      <c r="H13" s="342">
        <f>G13/G11*100</f>
        <v>96.430856257786829</v>
      </c>
      <c r="I13" s="373">
        <f>SUM(I15:I19)</f>
        <v>32820.408858755181</v>
      </c>
      <c r="J13" s="342">
        <f>I13/I11*100</f>
        <v>96.154287121914805</v>
      </c>
      <c r="K13" s="373">
        <f>SUM(K15:K19)</f>
        <v>34370.971575363525</v>
      </c>
      <c r="L13" s="342">
        <f>K13/K11*100</f>
        <v>96.027241308953094</v>
      </c>
      <c r="M13" s="79">
        <v>36724.025813181259</v>
      </c>
      <c r="N13" s="226">
        <f>M13/$M$11*100</f>
        <v>95.692693509254028</v>
      </c>
    </row>
    <row r="14" spans="2:18" x14ac:dyDescent="0.2">
      <c r="B14" s="334"/>
      <c r="C14" s="83"/>
      <c r="D14" s="342"/>
      <c r="E14" s="83"/>
      <c r="F14" s="342"/>
      <c r="G14" s="83"/>
      <c r="H14" s="342"/>
      <c r="I14" s="83"/>
      <c r="J14" s="342"/>
      <c r="K14" s="83"/>
      <c r="L14" s="342"/>
      <c r="M14" s="83"/>
      <c r="N14" s="83"/>
    </row>
    <row r="15" spans="2:18" x14ac:dyDescent="0.2">
      <c r="B15" s="334" t="s">
        <v>6</v>
      </c>
      <c r="C15" s="218">
        <v>16136</v>
      </c>
      <c r="D15" s="358">
        <f>C15/$C$11*100</f>
        <v>55.961711867933694</v>
      </c>
      <c r="E15" s="218">
        <v>15359.413326847736</v>
      </c>
      <c r="F15" s="358">
        <v>56.709584077019919</v>
      </c>
      <c r="G15" s="218">
        <v>15331.000000002556</v>
      </c>
      <c r="H15" s="358">
        <v>56.709584077019919</v>
      </c>
      <c r="I15" s="218">
        <v>18002.51363885809</v>
      </c>
      <c r="J15" s="358">
        <v>52.7</v>
      </c>
      <c r="K15" s="218">
        <v>18595.893710883996</v>
      </c>
      <c r="L15" s="358">
        <f>K15/$K$11*100</f>
        <v>51.954084824610149</v>
      </c>
      <c r="M15" s="83">
        <v>20102.486625092621</v>
      </c>
      <c r="N15" s="83">
        <f t="shared" ref="N15:N24" si="3">M15/$M$11*100</f>
        <v>52.38154175075249</v>
      </c>
    </row>
    <row r="16" spans="2:18" x14ac:dyDescent="0.2">
      <c r="B16" s="334" t="s">
        <v>7</v>
      </c>
      <c r="C16" s="218">
        <v>5531</v>
      </c>
      <c r="D16" s="358">
        <f t="shared" ref="D16:D19" si="4">C16/$C$11*100</f>
        <v>19.182215440105431</v>
      </c>
      <c r="E16" s="218">
        <v>5052.4001164084193</v>
      </c>
      <c r="F16" s="358">
        <v>18.654326379210204</v>
      </c>
      <c r="G16" s="218">
        <v>6408.0000000006967</v>
      </c>
      <c r="H16" s="358">
        <v>18.654326379210204</v>
      </c>
      <c r="I16" s="218">
        <v>7011.745587828691</v>
      </c>
      <c r="J16" s="358">
        <v>20.5</v>
      </c>
      <c r="K16" s="218">
        <v>7768.3998952176389</v>
      </c>
      <c r="L16" s="358">
        <f t="shared" ref="L16:L18" si="5">K16/$K$11*100</f>
        <v>21.703721981988235</v>
      </c>
      <c r="M16" s="83">
        <v>8125.105977538532</v>
      </c>
      <c r="N16" s="83">
        <f>M16/$M$11*100</f>
        <v>21.171787646433135</v>
      </c>
    </row>
    <row r="17" spans="2:14" x14ac:dyDescent="0.2">
      <c r="B17" s="334" t="s">
        <v>8</v>
      </c>
      <c r="C17" s="218">
        <v>4945</v>
      </c>
      <c r="D17" s="358">
        <f t="shared" si="4"/>
        <v>17.149892488034961</v>
      </c>
      <c r="E17" s="218">
        <v>4865.8296469632141</v>
      </c>
      <c r="F17" s="358">
        <v>17.965476258561527</v>
      </c>
      <c r="G17" s="218">
        <v>5478.0000000000782</v>
      </c>
      <c r="H17" s="358">
        <v>17.965476258561527</v>
      </c>
      <c r="I17" s="218">
        <v>6166.2380385530259</v>
      </c>
      <c r="J17" s="358">
        <v>17.965476258561527</v>
      </c>
      <c r="K17" s="218">
        <v>6278.8433599665459</v>
      </c>
      <c r="L17" s="358">
        <f t="shared" si="5"/>
        <v>17.54212868689466</v>
      </c>
      <c r="M17" s="83">
        <v>6507.2661662435803</v>
      </c>
      <c r="N17" s="83">
        <f t="shared" si="3"/>
        <v>16.956142825876732</v>
      </c>
    </row>
    <row r="18" spans="2:14" x14ac:dyDescent="0.2">
      <c r="B18" s="334" t="s">
        <v>10</v>
      </c>
      <c r="C18" s="218">
        <v>545</v>
      </c>
      <c r="D18" s="358">
        <f t="shared" si="4"/>
        <v>1.8901297079836306</v>
      </c>
      <c r="E18" s="218">
        <v>490.57881768420009</v>
      </c>
      <c r="F18" s="358">
        <v>1.8113009993186289</v>
      </c>
      <c r="G18" s="218">
        <v>725.99999999999341</v>
      </c>
      <c r="H18" s="358">
        <v>1.8113009993186289</v>
      </c>
      <c r="I18" s="218">
        <v>774.40132811116769</v>
      </c>
      <c r="J18" s="358">
        <v>2.2999999999999998</v>
      </c>
      <c r="K18" s="218">
        <v>886.40546118195414</v>
      </c>
      <c r="L18" s="358">
        <f t="shared" si="5"/>
        <v>2.4764813799882557</v>
      </c>
      <c r="M18" s="83">
        <v>981.85057438664819</v>
      </c>
      <c r="N18" s="83">
        <f t="shared" si="3"/>
        <v>2.5584320892439627</v>
      </c>
    </row>
    <row r="19" spans="2:14" x14ac:dyDescent="0.2">
      <c r="B19" s="334" t="s">
        <v>9</v>
      </c>
      <c r="C19" s="218">
        <v>510</v>
      </c>
      <c r="D19" s="358">
        <f t="shared" si="4"/>
        <v>1.768745231324131</v>
      </c>
      <c r="E19" s="218">
        <v>428.44947808519987</v>
      </c>
      <c r="F19" s="358">
        <v>1.5819088387807934</v>
      </c>
      <c r="G19" s="218">
        <v>695.99999999999397</v>
      </c>
      <c r="H19" s="358">
        <v>1.5819088387807934</v>
      </c>
      <c r="I19" s="218">
        <v>865.51026540420844</v>
      </c>
      <c r="J19" s="358">
        <v>2.5</v>
      </c>
      <c r="K19" s="218">
        <v>841.42914811338835</v>
      </c>
      <c r="L19" s="358">
        <f>K19/$K$11*100</f>
        <v>2.350824435471798</v>
      </c>
      <c r="M19" s="83">
        <v>1007.316469919873</v>
      </c>
      <c r="N19" s="83">
        <f t="shared" si="3"/>
        <v>2.6247891969476855</v>
      </c>
    </row>
    <row r="20" spans="2:14" x14ac:dyDescent="0.2">
      <c r="B20" s="334"/>
      <c r="C20" s="83"/>
      <c r="D20" s="342"/>
      <c r="E20" s="83"/>
      <c r="F20" s="342"/>
      <c r="G20" s="83"/>
      <c r="H20" s="342"/>
      <c r="I20" s="83"/>
      <c r="J20" s="342"/>
      <c r="K20" s="83"/>
      <c r="L20" s="342"/>
      <c r="M20" s="83"/>
      <c r="N20" s="83"/>
    </row>
    <row r="21" spans="2:14" x14ac:dyDescent="0.2">
      <c r="B21" s="73" t="s">
        <v>105</v>
      </c>
      <c r="C21" s="373">
        <f>SUM(C23:C24)</f>
        <v>1167</v>
      </c>
      <c r="D21" s="342">
        <f>C21/C11*100</f>
        <v>4.0473052646181591</v>
      </c>
      <c r="E21" s="373">
        <f>SUM(E23:E24)</f>
        <v>887.66290570209958</v>
      </c>
      <c r="F21" s="342">
        <f>E21/E11*100</f>
        <v>3.277403447107885</v>
      </c>
      <c r="G21" s="373">
        <f>SUM(G23:G24)</f>
        <v>1060.0000000000093</v>
      </c>
      <c r="H21" s="342">
        <f>G21/G11*100</f>
        <v>3.569143742213174</v>
      </c>
      <c r="I21" s="373">
        <f>SUM(I23:I24)</f>
        <v>1312.6598177791457</v>
      </c>
      <c r="J21" s="342">
        <f>I21/I11*100</f>
        <v>3.8457128780851986</v>
      </c>
      <c r="K21" s="373">
        <f>SUM(K23:K24)</f>
        <v>1421.9670812621844</v>
      </c>
      <c r="L21" s="342">
        <f>K21/K11*100</f>
        <v>3.972758691046903</v>
      </c>
      <c r="M21" s="79">
        <v>1653.0168495686912</v>
      </c>
      <c r="N21" s="226">
        <f t="shared" si="3"/>
        <v>4.3073064907451872</v>
      </c>
    </row>
    <row r="22" spans="2:14" x14ac:dyDescent="0.2">
      <c r="B22" s="334"/>
      <c r="C22" s="83"/>
      <c r="D22" s="342"/>
      <c r="E22" s="83"/>
      <c r="F22" s="342"/>
      <c r="G22" s="83"/>
      <c r="H22" s="342"/>
      <c r="I22" s="83"/>
      <c r="J22" s="342"/>
      <c r="K22" s="83"/>
      <c r="L22" s="342"/>
      <c r="M22" s="83"/>
      <c r="N22" s="83"/>
    </row>
    <row r="23" spans="2:14" x14ac:dyDescent="0.2">
      <c r="B23" s="334" t="s">
        <v>49</v>
      </c>
      <c r="C23" s="218">
        <v>1072</v>
      </c>
      <c r="D23" s="359">
        <f t="shared" ref="D23:D24" si="6">C23/$C$11*100</f>
        <v>3.7178331136852329</v>
      </c>
      <c r="E23" s="218">
        <v>839.68112701549956</v>
      </c>
      <c r="F23" s="359">
        <v>3.100246504020939</v>
      </c>
      <c r="G23" s="218">
        <v>930.00000000000932</v>
      </c>
      <c r="H23" s="359">
        <v>3.100246504020939</v>
      </c>
      <c r="I23" s="218">
        <v>853.69665548636158</v>
      </c>
      <c r="J23" s="359">
        <v>2.5</v>
      </c>
      <c r="K23" s="218">
        <v>993.23998355228514</v>
      </c>
      <c r="L23" s="359">
        <f t="shared" ref="L23" si="7">K23/$K$11*100</f>
        <v>2.7749607068611684</v>
      </c>
      <c r="M23" s="83">
        <v>1568.1072174400745</v>
      </c>
      <c r="N23" s="83">
        <f t="shared" si="3"/>
        <v>4.0860553826939867</v>
      </c>
    </row>
    <row r="24" spans="2:14" x14ac:dyDescent="0.2">
      <c r="B24" s="370" t="s">
        <v>50</v>
      </c>
      <c r="C24" s="371">
        <v>95</v>
      </c>
      <c r="D24" s="372">
        <f t="shared" si="6"/>
        <v>0.32947215093292642</v>
      </c>
      <c r="E24" s="371">
        <v>47.981778686600002</v>
      </c>
      <c r="F24" s="372">
        <v>0.17715694308691091</v>
      </c>
      <c r="G24" s="371">
        <v>130.00000000000006</v>
      </c>
      <c r="H24" s="372">
        <v>0.17715694308691091</v>
      </c>
      <c r="I24" s="371">
        <v>458.9631622927842</v>
      </c>
      <c r="J24" s="372">
        <v>1.3</v>
      </c>
      <c r="K24" s="371">
        <v>428.72709770989917</v>
      </c>
      <c r="L24" s="372">
        <f>K24/$K$11*100</f>
        <v>1.1977979841857342</v>
      </c>
      <c r="M24" s="124">
        <v>84.909632128616693</v>
      </c>
      <c r="N24" s="124">
        <f t="shared" si="3"/>
        <v>0.22125110805120002</v>
      </c>
    </row>
    <row r="25" spans="2:14" ht="15" x14ac:dyDescent="0.25">
      <c r="C25" s="42"/>
      <c r="D25" s="99"/>
      <c r="E25" s="99"/>
      <c r="F25" s="99"/>
      <c r="G25" s="99"/>
      <c r="H25" s="99"/>
      <c r="I25" s="99"/>
      <c r="J25" s="99"/>
      <c r="K25" s="99"/>
      <c r="L25" s="99"/>
    </row>
    <row r="26" spans="2:14" ht="15" x14ac:dyDescent="0.25">
      <c r="C26" s="102"/>
      <c r="D26" s="102"/>
      <c r="E26" s="99"/>
      <c r="F26" s="99"/>
      <c r="G26" s="99"/>
      <c r="H26" s="99"/>
      <c r="I26" s="99"/>
      <c r="J26" s="99"/>
      <c r="K26" s="99"/>
      <c r="L26" s="99"/>
    </row>
    <row r="27" spans="2:14" ht="15" x14ac:dyDescent="0.25">
      <c r="C27" s="102"/>
      <c r="D27" s="103"/>
      <c r="E27" s="94"/>
      <c r="F27" s="94"/>
      <c r="G27" s="94"/>
      <c r="H27" s="42"/>
      <c r="I27" s="42"/>
      <c r="J27" s="42"/>
      <c r="K27" s="42"/>
      <c r="L27" s="42"/>
    </row>
    <row r="28" spans="2:14" ht="15" x14ac:dyDescent="0.25">
      <c r="C28" s="94"/>
      <c r="D28" s="103"/>
      <c r="E28" s="94"/>
      <c r="F28" s="94"/>
      <c r="G28" s="94"/>
      <c r="H28" s="42"/>
      <c r="I28" s="42"/>
      <c r="J28" s="42"/>
      <c r="K28" s="42"/>
      <c r="L28" s="42"/>
    </row>
    <row r="29" spans="2:14" ht="13.5" customHeight="1" x14ac:dyDescent="0.25">
      <c r="C29" s="272">
        <f>+I15</f>
        <v>18002.51363885809</v>
      </c>
      <c r="D29" s="104"/>
      <c r="E29" s="96"/>
      <c r="F29" s="97"/>
      <c r="G29" s="96"/>
      <c r="H29" s="42"/>
      <c r="I29" s="42"/>
      <c r="J29" s="42"/>
      <c r="K29" s="42"/>
      <c r="L29" s="42"/>
    </row>
    <row r="30" spans="2:14" ht="15" x14ac:dyDescent="0.25">
      <c r="C30" s="272">
        <f t="shared" ref="C30:C33" si="8">+I16</f>
        <v>7011.745587828691</v>
      </c>
      <c r="D30" s="104"/>
      <c r="E30" s="96"/>
      <c r="F30" s="97"/>
      <c r="G30" s="96"/>
      <c r="H30" s="42"/>
      <c r="I30" s="42"/>
      <c r="J30" s="42"/>
      <c r="K30" s="42"/>
      <c r="L30" s="42"/>
    </row>
    <row r="31" spans="2:14" ht="13.5" customHeight="1" x14ac:dyDescent="0.25">
      <c r="C31" s="272">
        <f t="shared" si="8"/>
        <v>6166.2380385530259</v>
      </c>
      <c r="D31" s="104"/>
      <c r="E31" s="96"/>
      <c r="F31" s="97"/>
      <c r="G31" s="96"/>
      <c r="H31" s="42"/>
      <c r="I31" s="42"/>
      <c r="J31" s="42"/>
      <c r="K31" s="42"/>
      <c r="L31" s="42"/>
    </row>
    <row r="32" spans="2:14" ht="15" x14ac:dyDescent="0.25">
      <c r="C32" s="272">
        <f t="shared" si="8"/>
        <v>774.40132811116769</v>
      </c>
      <c r="D32" s="104"/>
      <c r="E32" s="96"/>
      <c r="F32" s="97"/>
      <c r="G32" s="96"/>
      <c r="H32" s="42"/>
      <c r="I32" s="42"/>
      <c r="J32" s="42"/>
      <c r="K32" s="42"/>
      <c r="L32" s="42"/>
    </row>
    <row r="33" spans="2:12" ht="15" x14ac:dyDescent="0.25">
      <c r="C33" s="272">
        <f t="shared" si="8"/>
        <v>865.51026540420844</v>
      </c>
      <c r="D33" s="104"/>
      <c r="E33" s="96"/>
      <c r="F33" s="97"/>
      <c r="G33" s="96"/>
      <c r="H33" s="42"/>
      <c r="I33" s="42"/>
      <c r="J33" s="42"/>
      <c r="K33" s="42"/>
      <c r="L33" s="42"/>
    </row>
    <row r="34" spans="2:12" ht="15" x14ac:dyDescent="0.25">
      <c r="C34" s="132">
        <f>+I23+I24</f>
        <v>1312.6598177791457</v>
      </c>
      <c r="D34" s="104"/>
      <c r="E34" s="95"/>
      <c r="F34" s="97"/>
      <c r="G34" s="95"/>
      <c r="H34" s="42"/>
      <c r="I34" s="42"/>
      <c r="J34" s="42"/>
      <c r="K34" s="42"/>
      <c r="L34" s="42"/>
    </row>
    <row r="35" spans="2:12" ht="15" x14ac:dyDescent="0.25">
      <c r="C35" s="273">
        <f>SUM(C37:C38)</f>
        <v>0</v>
      </c>
      <c r="D35" s="104"/>
      <c r="E35" s="95"/>
      <c r="F35" s="95"/>
      <c r="G35" s="95"/>
      <c r="H35" s="42"/>
      <c r="I35" s="42"/>
      <c r="J35" s="42"/>
      <c r="K35" s="42"/>
      <c r="L35" s="42"/>
    </row>
    <row r="36" spans="2:12" ht="15" x14ac:dyDescent="0.25">
      <c r="C36" s="104"/>
      <c r="D36" s="104"/>
      <c r="E36" s="95"/>
      <c r="F36" s="95"/>
      <c r="G36" s="95"/>
      <c r="H36" s="42"/>
      <c r="I36" s="42"/>
      <c r="J36" s="42"/>
      <c r="K36" s="42"/>
      <c r="L36" s="42"/>
    </row>
    <row r="37" spans="2:12" ht="15" x14ac:dyDescent="0.25">
      <c r="C37" s="102"/>
      <c r="D37" s="102"/>
      <c r="E37" s="42"/>
      <c r="F37" s="42"/>
      <c r="G37" s="42"/>
      <c r="H37" s="42"/>
      <c r="I37" s="42"/>
      <c r="J37" s="42"/>
      <c r="K37" s="42"/>
      <c r="L37" s="42"/>
    </row>
    <row r="38" spans="2:12" ht="13.5" customHeight="1" x14ac:dyDescent="0.25">
      <c r="C38" s="102"/>
      <c r="D38" s="102"/>
      <c r="E38" s="42"/>
      <c r="F38" s="42"/>
      <c r="G38" s="42"/>
      <c r="H38" s="42"/>
      <c r="I38" s="42"/>
      <c r="J38" s="42"/>
      <c r="K38" s="42"/>
      <c r="L38" s="42"/>
    </row>
    <row r="39" spans="2:12" ht="13.5" customHeight="1" x14ac:dyDescent="0.25"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2:12" ht="15" x14ac:dyDescent="0.25"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2:12" ht="15" x14ac:dyDescent="0.25"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2:12" ht="15" x14ac:dyDescent="0.25"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2:12" ht="15" x14ac:dyDescent="0.25"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2:12" ht="15" x14ac:dyDescent="0.25"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2:12" ht="15" x14ac:dyDescent="0.25"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2:12" ht="15" x14ac:dyDescent="0.25"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2:12" ht="12.75" customHeight="1" x14ac:dyDescent="0.25">
      <c r="B47" s="112" t="s">
        <v>112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2:12" ht="15" x14ac:dyDescent="0.25">
      <c r="B48" s="11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2:12" ht="15" x14ac:dyDescent="0.25"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2:12" ht="12" customHeight="1" x14ac:dyDescent="0.25">
      <c r="B50" s="101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mergeCells count="8">
    <mergeCell ref="M8:N8"/>
    <mergeCell ref="K8:L8"/>
    <mergeCell ref="C5:R5"/>
    <mergeCell ref="B8:B9"/>
    <mergeCell ref="I8:J8"/>
    <mergeCell ref="G8:H8"/>
    <mergeCell ref="E8:F8"/>
    <mergeCell ref="C8:D8"/>
  </mergeCells>
  <pageMargins left="0.7" right="0.7" top="0.75" bottom="0.75" header="0.3" footer="0.3"/>
  <pageSetup scale="60" orientation="landscape" r:id="rId1"/>
  <ignoredErrors>
    <ignoredError sqref="D13:F22 G13:H13 I13:K13 H21:K21 G21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57150</xdr:rowOff>
              </from>
              <to>
                <xdr:col>1</xdr:col>
                <xdr:colOff>552450</xdr:colOff>
                <xdr:row>4</xdr:row>
                <xdr:rowOff>9525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55"/>
  <sheetViews>
    <sheetView tabSelected="1" workbookViewId="0">
      <selection activeCell="M12" sqref="M12"/>
    </sheetView>
  </sheetViews>
  <sheetFormatPr defaultRowHeight="15" x14ac:dyDescent="0.25"/>
  <cols>
    <col min="1" max="1" width="9.140625" style="46"/>
    <col min="2" max="2" width="12.140625" style="46" bestFit="1" customWidth="1"/>
    <col min="3" max="8" width="9.5703125" style="46" customWidth="1"/>
    <col min="9" max="9" width="9.140625" style="46"/>
    <col min="17" max="16384" width="9.140625" style="46"/>
  </cols>
  <sheetData>
    <row r="1" spans="2:25" s="42" customFormat="1" x14ac:dyDescent="0.25">
      <c r="J1"/>
      <c r="K1"/>
      <c r="L1"/>
      <c r="M1"/>
      <c r="N1"/>
      <c r="O1"/>
      <c r="P1"/>
    </row>
    <row r="2" spans="2:25" s="42" customFormat="1" x14ac:dyDescent="0.25">
      <c r="G2" s="43" t="s">
        <v>314</v>
      </c>
      <c r="H2" s="43"/>
      <c r="J2"/>
      <c r="K2"/>
      <c r="L2"/>
      <c r="M2"/>
      <c r="N2"/>
      <c r="O2"/>
      <c r="P2"/>
    </row>
    <row r="3" spans="2:25" s="42" customFormat="1" x14ac:dyDescent="0.25">
      <c r="G3" s="44"/>
      <c r="H3" s="44"/>
      <c r="J3"/>
      <c r="K3"/>
      <c r="L3"/>
      <c r="M3"/>
      <c r="N3"/>
      <c r="O3"/>
      <c r="P3"/>
    </row>
    <row r="7" spans="2:25" x14ac:dyDescent="0.25">
      <c r="B7" s="47" t="s">
        <v>29</v>
      </c>
      <c r="C7" s="378" t="s">
        <v>308</v>
      </c>
      <c r="D7" s="378"/>
      <c r="E7" s="378"/>
      <c r="F7" s="378"/>
      <c r="G7" s="378"/>
      <c r="H7" s="378"/>
    </row>
    <row r="8" spans="2:25" x14ac:dyDescent="0.25">
      <c r="B8" s="44"/>
      <c r="C8" s="44"/>
      <c r="D8" s="44"/>
      <c r="E8" s="44"/>
      <c r="F8" s="44"/>
      <c r="G8" s="44"/>
      <c r="H8" s="44"/>
      <c r="I8" s="59"/>
    </row>
    <row r="9" spans="2:25" x14ac:dyDescent="0.25">
      <c r="B9" s="236" t="s">
        <v>0</v>
      </c>
      <c r="C9" s="376" t="s">
        <v>1</v>
      </c>
      <c r="D9" s="376"/>
      <c r="E9" s="377" t="s">
        <v>2</v>
      </c>
      <c r="F9" s="377"/>
      <c r="G9" s="376" t="s">
        <v>3</v>
      </c>
      <c r="H9" s="376"/>
      <c r="I9" s="59"/>
      <c r="Q9"/>
      <c r="R9"/>
      <c r="S9"/>
      <c r="T9"/>
    </row>
    <row r="10" spans="2:25" s="105" customFormat="1" x14ac:dyDescent="0.25">
      <c r="B10" s="75"/>
      <c r="C10" s="274" t="s">
        <v>4</v>
      </c>
      <c r="D10" s="274" t="s">
        <v>5</v>
      </c>
      <c r="E10" s="274" t="s">
        <v>4</v>
      </c>
      <c r="F10" s="274" t="s">
        <v>5</v>
      </c>
      <c r="G10" s="274" t="s">
        <v>4</v>
      </c>
      <c r="H10" s="274" t="s">
        <v>5</v>
      </c>
      <c r="I10" s="84"/>
      <c r="J10"/>
      <c r="K10"/>
      <c r="L10"/>
      <c r="M10"/>
      <c r="N10"/>
      <c r="O10"/>
      <c r="P10"/>
      <c r="Q10" s="106"/>
      <c r="R10" s="106"/>
      <c r="S10" s="106"/>
      <c r="T10" s="106"/>
    </row>
    <row r="11" spans="2:25" x14ac:dyDescent="0.25">
      <c r="B11" s="121"/>
      <c r="C11" s="121"/>
      <c r="D11" s="121"/>
      <c r="E11" s="121"/>
      <c r="F11" s="121"/>
      <c r="G11" s="121"/>
      <c r="H11" s="121"/>
      <c r="I11" s="59"/>
      <c r="Q11"/>
      <c r="R11"/>
      <c r="S11"/>
      <c r="T11"/>
      <c r="U11"/>
      <c r="V11"/>
      <c r="W11"/>
      <c r="X11"/>
      <c r="Y11"/>
    </row>
    <row r="12" spans="2:25" x14ac:dyDescent="0.25">
      <c r="B12" s="122" t="s">
        <v>1</v>
      </c>
      <c r="C12" s="49">
        <v>88833.367838348655</v>
      </c>
      <c r="D12" s="49">
        <v>100</v>
      </c>
      <c r="E12" s="49">
        <v>44062.679638165231</v>
      </c>
      <c r="F12" s="49">
        <v>100</v>
      </c>
      <c r="G12" s="49">
        <v>44770.688200182442</v>
      </c>
      <c r="H12" s="49">
        <v>100</v>
      </c>
      <c r="I12" s="59"/>
      <c r="Q12"/>
      <c r="R12"/>
      <c r="S12"/>
      <c r="T12"/>
      <c r="U12"/>
      <c r="V12"/>
      <c r="W12"/>
      <c r="X12"/>
      <c r="Y12"/>
    </row>
    <row r="13" spans="2:25" x14ac:dyDescent="0.25">
      <c r="B13" s="50"/>
      <c r="C13" s="51"/>
      <c r="D13" s="52"/>
      <c r="E13" s="51"/>
      <c r="F13" s="52"/>
      <c r="G13" s="51"/>
      <c r="H13" s="52"/>
      <c r="I13" s="59"/>
      <c r="Q13"/>
      <c r="R13"/>
      <c r="S13"/>
      <c r="T13"/>
      <c r="U13"/>
      <c r="V13"/>
      <c r="W13"/>
      <c r="X13"/>
      <c r="Y13"/>
    </row>
    <row r="14" spans="2:25" x14ac:dyDescent="0.25">
      <c r="B14" s="50" t="s">
        <v>6</v>
      </c>
      <c r="C14" s="53">
        <v>43219.865057449082</v>
      </c>
      <c r="D14" s="123">
        <f>(C14/$C$12)*100</f>
        <v>48.65273726433167</v>
      </c>
      <c r="E14" s="51">
        <v>21657.232376228611</v>
      </c>
      <c r="F14" s="123">
        <f>(E14/$E$12)*100</f>
        <v>49.150965293245655</v>
      </c>
      <c r="G14" s="51">
        <v>21562.632681219198</v>
      </c>
      <c r="H14" s="123">
        <f>(G14/$G$12)*100</f>
        <v>48.162388267981392</v>
      </c>
      <c r="I14" s="59"/>
      <c r="Q14"/>
      <c r="R14"/>
      <c r="S14"/>
      <c r="T14"/>
      <c r="U14"/>
      <c r="V14"/>
      <c r="W14"/>
      <c r="X14"/>
      <c r="Y14"/>
    </row>
    <row r="15" spans="2:25" x14ac:dyDescent="0.25">
      <c r="B15" s="50" t="s">
        <v>7</v>
      </c>
      <c r="C15" s="53">
        <v>19636.041338128693</v>
      </c>
      <c r="D15" s="123">
        <f>(C15/$C$12)*100</f>
        <v>22.10435314561154</v>
      </c>
      <c r="E15" s="51">
        <v>9730.8311324088772</v>
      </c>
      <c r="F15" s="123">
        <f t="shared" ref="F15:F18" si="0">(E15/$E$12)*100</f>
        <v>22.084065727088557</v>
      </c>
      <c r="G15" s="51">
        <v>9905.210205719799</v>
      </c>
      <c r="H15" s="123">
        <f t="shared" ref="H15:H19" si="1">(G15/$G$12)*100</f>
        <v>22.124319736678597</v>
      </c>
      <c r="Q15"/>
      <c r="R15"/>
      <c r="S15"/>
      <c r="T15"/>
      <c r="U15"/>
      <c r="V15"/>
      <c r="W15"/>
      <c r="X15"/>
      <c r="Y15"/>
    </row>
    <row r="16" spans="2:25" x14ac:dyDescent="0.25">
      <c r="B16" s="50" t="s">
        <v>8</v>
      </c>
      <c r="C16" s="53">
        <v>17647.666785102105</v>
      </c>
      <c r="D16" s="123">
        <f t="shared" ref="D16:D19" si="2">(C16/$C$12)*100</f>
        <v>19.866033692672573</v>
      </c>
      <c r="E16" s="51">
        <v>8578.0380370202438</v>
      </c>
      <c r="F16" s="123">
        <f t="shared" si="0"/>
        <v>19.467808375390565</v>
      </c>
      <c r="G16" s="51">
        <v>9069.6287480817427</v>
      </c>
      <c r="H16" s="123">
        <f t="shared" si="1"/>
        <v>20.257961431213346</v>
      </c>
      <c r="Q16"/>
      <c r="R16"/>
      <c r="S16"/>
      <c r="T16"/>
      <c r="U16"/>
      <c r="V16"/>
      <c r="W16"/>
      <c r="X16"/>
      <c r="Y16"/>
    </row>
    <row r="17" spans="2:25" x14ac:dyDescent="0.25">
      <c r="B17" s="50" t="s">
        <v>10</v>
      </c>
      <c r="C17" s="53">
        <v>2381.0284619913891</v>
      </c>
      <c r="D17" s="123">
        <f t="shared" si="2"/>
        <v>2.6803311862769639</v>
      </c>
      <c r="E17" s="51">
        <v>1267.4289129016345</v>
      </c>
      <c r="F17" s="123">
        <f t="shared" si="0"/>
        <v>2.8764226853871167</v>
      </c>
      <c r="G17" s="51">
        <v>1113.5995490897508</v>
      </c>
      <c r="H17" s="123">
        <f t="shared" si="1"/>
        <v>2.4873406995901681</v>
      </c>
      <c r="Q17"/>
      <c r="R17"/>
      <c r="S17"/>
      <c r="T17"/>
      <c r="U17"/>
      <c r="V17"/>
      <c r="W17"/>
      <c r="X17"/>
      <c r="Y17"/>
    </row>
    <row r="18" spans="2:25" x14ac:dyDescent="0.25">
      <c r="B18" s="50" t="s">
        <v>9</v>
      </c>
      <c r="C18" s="53">
        <v>2487.2563260503007</v>
      </c>
      <c r="D18" s="123">
        <f t="shared" si="2"/>
        <v>2.7999122250733492</v>
      </c>
      <c r="E18" s="51">
        <v>1138.6050498629472</v>
      </c>
      <c r="F18" s="123">
        <f t="shared" si="0"/>
        <v>2.5840576633399657</v>
      </c>
      <c r="G18" s="51">
        <v>1348.6512761873498</v>
      </c>
      <c r="H18" s="123">
        <f t="shared" si="1"/>
        <v>3.0123532391486756</v>
      </c>
      <c r="Q18"/>
      <c r="R18"/>
      <c r="S18"/>
      <c r="T18"/>
      <c r="U18"/>
      <c r="V18"/>
      <c r="W18"/>
      <c r="X18"/>
      <c r="Y18"/>
    </row>
    <row r="19" spans="2:25" ht="15" customHeight="1" x14ac:dyDescent="0.25">
      <c r="B19" s="276" t="s">
        <v>11</v>
      </c>
      <c r="C19" s="124">
        <v>3461.509869624645</v>
      </c>
      <c r="D19" s="123">
        <f t="shared" si="2"/>
        <v>3.8966324860311543</v>
      </c>
      <c r="E19" s="124">
        <v>1690.5441297416137</v>
      </c>
      <c r="F19" s="126">
        <f>(E19/$E$12)*100</f>
        <v>3.8366802555451844</v>
      </c>
      <c r="G19" s="124">
        <v>1770.9657398830273</v>
      </c>
      <c r="H19" s="126">
        <f t="shared" si="1"/>
        <v>3.955636625384308</v>
      </c>
      <c r="Q19"/>
      <c r="R19"/>
      <c r="S19"/>
      <c r="T19"/>
      <c r="U19"/>
      <c r="V19"/>
      <c r="W19"/>
      <c r="X19"/>
      <c r="Y19"/>
    </row>
    <row r="20" spans="2:25" x14ac:dyDescent="0.25">
      <c r="D20" s="54"/>
      <c r="Q20"/>
      <c r="R20"/>
      <c r="S20"/>
      <c r="T20"/>
      <c r="U20"/>
      <c r="V20"/>
      <c r="W20"/>
      <c r="X20"/>
      <c r="Y20"/>
    </row>
    <row r="21" spans="2:25" x14ac:dyDescent="0.25">
      <c r="Q21"/>
      <c r="R21"/>
      <c r="S21"/>
      <c r="T21"/>
      <c r="U21"/>
      <c r="V21"/>
      <c r="W21"/>
      <c r="X21"/>
      <c r="Y21"/>
    </row>
    <row r="22" spans="2:25" x14ac:dyDescent="0.25">
      <c r="Q22"/>
      <c r="R22"/>
      <c r="S22"/>
      <c r="T22"/>
      <c r="U22"/>
    </row>
    <row r="23" spans="2:25" ht="15" customHeight="1" x14ac:dyDescent="0.25">
      <c r="Q23"/>
    </row>
    <row r="24" spans="2:25" ht="15" customHeight="1" x14ac:dyDescent="0.25"/>
    <row r="25" spans="2:25" ht="15" customHeight="1" x14ac:dyDescent="0.25">
      <c r="B25" s="47" t="s">
        <v>30</v>
      </c>
      <c r="C25" s="378" t="s">
        <v>309</v>
      </c>
      <c r="D25" s="378"/>
      <c r="E25" s="378"/>
      <c r="F25" s="378"/>
      <c r="G25" s="378"/>
      <c r="H25" s="378"/>
    </row>
    <row r="26" spans="2:25" ht="15" customHeight="1" x14ac:dyDescent="0.25">
      <c r="B26" s="44"/>
      <c r="C26" s="44"/>
      <c r="D26" s="44"/>
      <c r="E26" s="44"/>
      <c r="F26" s="44"/>
      <c r="G26" s="44"/>
      <c r="H26" s="44"/>
    </row>
    <row r="27" spans="2:25" ht="15" customHeight="1" x14ac:dyDescent="0.25">
      <c r="B27" s="236" t="s">
        <v>0</v>
      </c>
      <c r="C27" s="376" t="s">
        <v>1</v>
      </c>
      <c r="D27" s="376"/>
      <c r="E27" s="377" t="s">
        <v>12</v>
      </c>
      <c r="F27" s="377"/>
      <c r="G27" s="376" t="s">
        <v>13</v>
      </c>
      <c r="H27" s="376"/>
    </row>
    <row r="28" spans="2:25" ht="15" customHeight="1" x14ac:dyDescent="0.25">
      <c r="B28" s="48"/>
      <c r="C28" s="127" t="s">
        <v>4</v>
      </c>
      <c r="D28" s="127" t="s">
        <v>5</v>
      </c>
      <c r="E28" s="127" t="s">
        <v>4</v>
      </c>
      <c r="F28" s="127" t="s">
        <v>5</v>
      </c>
      <c r="G28" s="127" t="s">
        <v>4</v>
      </c>
      <c r="H28" s="127" t="s">
        <v>5</v>
      </c>
    </row>
    <row r="29" spans="2:25" ht="15" customHeight="1" x14ac:dyDescent="0.25">
      <c r="B29" s="121"/>
      <c r="C29" s="121"/>
      <c r="D29" s="121"/>
      <c r="E29" s="121"/>
      <c r="F29" s="121"/>
      <c r="G29" s="121"/>
      <c r="H29" s="121"/>
    </row>
    <row r="30" spans="2:25" ht="15" customHeight="1" x14ac:dyDescent="0.25">
      <c r="B30" s="122" t="s">
        <v>1</v>
      </c>
      <c r="C30" s="49">
        <v>88833.367838348655</v>
      </c>
      <c r="D30" s="49">
        <v>100</v>
      </c>
      <c r="E30" s="49">
        <v>40633.000000000298</v>
      </c>
      <c r="F30" s="49">
        <v>100</v>
      </c>
      <c r="G30" s="49">
        <v>48200.367838346217</v>
      </c>
      <c r="H30" s="49">
        <v>100</v>
      </c>
    </row>
    <row r="31" spans="2:25" ht="15" customHeight="1" x14ac:dyDescent="0.25">
      <c r="B31" s="50"/>
      <c r="C31" s="51"/>
      <c r="D31" s="52"/>
      <c r="E31" s="51"/>
      <c r="F31" s="52"/>
      <c r="G31" s="51"/>
      <c r="H31" s="52"/>
    </row>
    <row r="32" spans="2:25" ht="15" customHeight="1" x14ac:dyDescent="0.25">
      <c r="B32" s="50" t="s">
        <v>6</v>
      </c>
      <c r="C32" s="53">
        <v>43219.865057449082</v>
      </c>
      <c r="D32" s="123">
        <f>(C32/$C$30)*100</f>
        <v>48.65273726433167</v>
      </c>
      <c r="E32" s="51">
        <v>15201.425682507795</v>
      </c>
      <c r="F32" s="123">
        <f>(E32/$E$30)*100</f>
        <v>37.411526794742414</v>
      </c>
      <c r="G32" s="51">
        <v>28018.439374940688</v>
      </c>
      <c r="H32" s="123">
        <f>(G32/$G$30)*100</f>
        <v>58.129098659389022</v>
      </c>
    </row>
    <row r="33" spans="2:9" ht="15" customHeight="1" x14ac:dyDescent="0.25">
      <c r="B33" s="50" t="s">
        <v>7</v>
      </c>
      <c r="C33" s="53">
        <v>19636.041338128693</v>
      </c>
      <c r="D33" s="123">
        <f>(C33/$C$30)*100</f>
        <v>22.10435314561154</v>
      </c>
      <c r="E33" s="51">
        <v>9880.9266936299646</v>
      </c>
      <c r="F33" s="123">
        <f t="shared" ref="F33:F37" si="3">(E33/$E$30)*100</f>
        <v>24.317492416582315</v>
      </c>
      <c r="G33" s="51">
        <v>9755.1146444986971</v>
      </c>
      <c r="H33" s="123">
        <f>(G33/$G$30)*100</f>
        <v>20.238672611825862</v>
      </c>
    </row>
    <row r="34" spans="2:9" ht="15" customHeight="1" x14ac:dyDescent="0.25">
      <c r="B34" s="50" t="s">
        <v>8</v>
      </c>
      <c r="C34" s="53">
        <v>17647.666785102105</v>
      </c>
      <c r="D34" s="123">
        <f t="shared" ref="D34:D37" si="4">(C34/$C$30)*100</f>
        <v>19.866033692672573</v>
      </c>
      <c r="E34" s="51">
        <v>11401.069261880773</v>
      </c>
      <c r="F34" s="123">
        <f t="shared" si="3"/>
        <v>28.05864509605663</v>
      </c>
      <c r="G34" s="51">
        <v>6246.5975232212941</v>
      </c>
      <c r="H34" s="123">
        <f t="shared" ref="H34:H37" si="5">(G34/$G$30)*100</f>
        <v>12.959646997240878</v>
      </c>
    </row>
    <row r="35" spans="2:9" ht="15" customHeight="1" x14ac:dyDescent="0.25">
      <c r="B35" s="50" t="s">
        <v>10</v>
      </c>
      <c r="C35" s="53">
        <v>2381.0284619913891</v>
      </c>
      <c r="D35" s="123">
        <f t="shared" si="4"/>
        <v>2.6803311862769639</v>
      </c>
      <c r="E35" s="51">
        <v>1520.1425682507595</v>
      </c>
      <c r="F35" s="123">
        <f t="shared" si="3"/>
        <v>3.7411526794741921</v>
      </c>
      <c r="G35" s="51">
        <v>860.88589374062485</v>
      </c>
      <c r="H35" s="123">
        <f t="shared" si="5"/>
        <v>1.78605668867062</v>
      </c>
    </row>
    <row r="36" spans="2:9" ht="15" customHeight="1" x14ac:dyDescent="0.25">
      <c r="B36" s="50" t="s">
        <v>9</v>
      </c>
      <c r="C36" s="53">
        <v>2487.2563260503007</v>
      </c>
      <c r="D36" s="123">
        <f t="shared" si="4"/>
        <v>2.7999122250733492</v>
      </c>
      <c r="E36" s="51">
        <v>801.15621840242784</v>
      </c>
      <c r="F36" s="123">
        <f t="shared" si="3"/>
        <v>1.9716885743174806</v>
      </c>
      <c r="G36" s="51">
        <v>1686.1001076478708</v>
      </c>
      <c r="H36" s="123">
        <f>(G36/$G$30)*100</f>
        <v>3.4981063076171783</v>
      </c>
    </row>
    <row r="37" spans="2:9" ht="15" customHeight="1" x14ac:dyDescent="0.25">
      <c r="B37" s="276" t="s">
        <v>11</v>
      </c>
      <c r="C37" s="124">
        <v>3461.509869624645</v>
      </c>
      <c r="D37" s="126">
        <f t="shared" si="4"/>
        <v>3.8966324860311543</v>
      </c>
      <c r="E37" s="124">
        <v>1828.2795753286159</v>
      </c>
      <c r="F37" s="126">
        <f t="shared" si="3"/>
        <v>4.4994944388270683</v>
      </c>
      <c r="G37" s="124">
        <v>1633.2302942960241</v>
      </c>
      <c r="H37" s="126">
        <f t="shared" si="5"/>
        <v>3.3884187352543269</v>
      </c>
    </row>
    <row r="38" spans="2:9" ht="15" customHeight="1" x14ac:dyDescent="0.25">
      <c r="B38" s="184"/>
      <c r="C38" s="51"/>
      <c r="D38" s="183"/>
      <c r="E38" s="51"/>
      <c r="F38" s="52"/>
      <c r="G38" s="51"/>
      <c r="H38" s="52"/>
    </row>
    <row r="39" spans="2:9" x14ac:dyDescent="0.25">
      <c r="B39" s="55" t="s">
        <v>38</v>
      </c>
    </row>
    <row r="45" spans="2:9" x14ac:dyDescent="0.25">
      <c r="B45"/>
      <c r="C45"/>
      <c r="D45"/>
      <c r="E45"/>
      <c r="F45"/>
      <c r="G45"/>
      <c r="H45"/>
      <c r="I45"/>
    </row>
    <row r="46" spans="2:9" x14ac:dyDescent="0.25">
      <c r="B46"/>
      <c r="C46"/>
      <c r="D46"/>
      <c r="E46"/>
      <c r="F46"/>
      <c r="G46"/>
      <c r="H46"/>
      <c r="I46"/>
    </row>
    <row r="47" spans="2:9" x14ac:dyDescent="0.25">
      <c r="B47"/>
      <c r="C47"/>
      <c r="D47"/>
      <c r="E47"/>
      <c r="F47"/>
      <c r="G47"/>
      <c r="H47"/>
      <c r="I47"/>
    </row>
    <row r="48" spans="2:9" x14ac:dyDescent="0.25">
      <c r="B48"/>
      <c r="C48"/>
      <c r="D48"/>
      <c r="E48"/>
      <c r="F48"/>
      <c r="G48"/>
      <c r="H48"/>
      <c r="I48"/>
    </row>
    <row r="49" spans="1:25" x14ac:dyDescent="0.25">
      <c r="B49"/>
      <c r="C49"/>
      <c r="D49"/>
      <c r="E49"/>
      <c r="F49"/>
      <c r="G49"/>
      <c r="H49"/>
      <c r="I49"/>
    </row>
    <row r="50" spans="1:25" x14ac:dyDescent="0.25">
      <c r="B50"/>
      <c r="C50"/>
      <c r="D50"/>
      <c r="E50"/>
      <c r="F50"/>
      <c r="G50"/>
      <c r="H50"/>
      <c r="I50"/>
    </row>
    <row r="51" spans="1:25" x14ac:dyDescent="0.25">
      <c r="B51"/>
      <c r="C51"/>
      <c r="D51"/>
      <c r="E51"/>
      <c r="F51"/>
      <c r="G51"/>
      <c r="H51"/>
      <c r="I51"/>
    </row>
    <row r="52" spans="1:25" s="42" customFormat="1" ht="12.75" customHeight="1" x14ac:dyDescent="0.25">
      <c r="A52" s="56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25">
      <c r="A53" s="72"/>
      <c r="B53"/>
      <c r="C53"/>
      <c r="D53"/>
      <c r="E53"/>
      <c r="F53"/>
      <c r="G53"/>
      <c r="H53"/>
      <c r="I53"/>
      <c r="V53" s="42"/>
      <c r="W53" s="42"/>
      <c r="X53" s="42"/>
      <c r="Y53" s="42"/>
    </row>
    <row r="54" spans="1:25" x14ac:dyDescent="0.25">
      <c r="B54"/>
      <c r="C54"/>
      <c r="D54"/>
      <c r="E54"/>
      <c r="F54"/>
      <c r="G54"/>
      <c r="H54"/>
      <c r="I54"/>
      <c r="R54" s="42"/>
      <c r="S54" s="42"/>
      <c r="T54" s="42"/>
      <c r="U54" s="42"/>
    </row>
    <row r="55" spans="1:25" x14ac:dyDescent="0.25">
      <c r="B55"/>
      <c r="C55"/>
      <c r="D55"/>
      <c r="E55"/>
      <c r="F55"/>
      <c r="G55"/>
      <c r="H55"/>
      <c r="I55"/>
      <c r="Q55" s="42"/>
    </row>
  </sheetData>
  <mergeCells count="8">
    <mergeCell ref="C27:D27"/>
    <mergeCell ref="E27:F27"/>
    <mergeCell ref="G27:H27"/>
    <mergeCell ref="C7:H7"/>
    <mergeCell ref="C25:H25"/>
    <mergeCell ref="C9:D9"/>
    <mergeCell ref="E9:F9"/>
    <mergeCell ref="G9:H9"/>
  </mergeCells>
  <pageMargins left="0.7" right="0.7" top="0.75" bottom="0.75" header="0.3" footer="0.3"/>
  <pageSetup scale="9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257175</xdr:colOff>
                <xdr:row>2</xdr:row>
                <xdr:rowOff>85725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57"/>
  <sheetViews>
    <sheetView workbookViewId="0">
      <selection activeCell="L24" sqref="L24"/>
    </sheetView>
  </sheetViews>
  <sheetFormatPr defaultRowHeight="12.75" x14ac:dyDescent="0.2"/>
  <cols>
    <col min="1" max="1" width="9.140625" style="46"/>
    <col min="2" max="2" width="10.7109375" style="46" customWidth="1"/>
    <col min="3" max="7" width="9.7109375" style="46" customWidth="1"/>
    <col min="8" max="8" width="10.42578125" style="46" customWidth="1"/>
    <col min="9" max="16384" width="9.140625" style="46"/>
  </cols>
  <sheetData>
    <row r="1" spans="2:25" s="42" customFormat="1" ht="15" x14ac:dyDescent="0.25"/>
    <row r="2" spans="2:25" s="42" customFormat="1" ht="15" x14ac:dyDescent="0.25">
      <c r="G2" s="43" t="s">
        <v>314</v>
      </c>
    </row>
    <row r="3" spans="2:25" s="42" customFormat="1" ht="15" x14ac:dyDescent="0.25">
      <c r="G3" s="44"/>
      <c r="H3" s="44"/>
      <c r="I3" s="45"/>
    </row>
    <row r="7" spans="2:25" ht="15" x14ac:dyDescent="0.25">
      <c r="B7" s="47" t="s">
        <v>301</v>
      </c>
      <c r="C7" s="378" t="s">
        <v>311</v>
      </c>
      <c r="D7" s="378"/>
      <c r="E7" s="378"/>
      <c r="F7" s="378"/>
      <c r="G7" s="378"/>
      <c r="H7" s="378"/>
      <c r="J7" s="42"/>
      <c r="K7" s="42"/>
      <c r="L7" s="42"/>
      <c r="M7" s="42"/>
      <c r="N7" s="42"/>
    </row>
    <row r="8" spans="2:25" ht="15" x14ac:dyDescent="0.25">
      <c r="B8" s="44"/>
      <c r="C8" s="44"/>
      <c r="D8" s="44"/>
      <c r="E8" s="44"/>
      <c r="F8" s="44"/>
      <c r="G8" s="44"/>
      <c r="H8" s="44"/>
      <c r="J8" s="42"/>
      <c r="K8" s="42"/>
      <c r="L8" s="42"/>
      <c r="M8" s="42"/>
      <c r="N8" s="42"/>
    </row>
    <row r="9" spans="2:25" ht="15" x14ac:dyDescent="0.25">
      <c r="B9" s="119" t="s">
        <v>99</v>
      </c>
      <c r="C9" s="376" t="s">
        <v>1</v>
      </c>
      <c r="D9" s="376"/>
      <c r="E9" s="377" t="s">
        <v>2</v>
      </c>
      <c r="F9" s="377"/>
      <c r="G9" s="376" t="s">
        <v>3</v>
      </c>
      <c r="H9" s="376"/>
      <c r="J9" s="42"/>
      <c r="K9" s="42"/>
      <c r="L9" s="42"/>
      <c r="M9" s="42"/>
      <c r="N9" s="42"/>
    </row>
    <row r="10" spans="2:25" s="116" customFormat="1" ht="15" x14ac:dyDescent="0.25">
      <c r="B10" s="75"/>
      <c r="C10" s="120" t="s">
        <v>4</v>
      </c>
      <c r="D10" s="120" t="s">
        <v>5</v>
      </c>
      <c r="E10" s="120" t="s">
        <v>4</v>
      </c>
      <c r="F10" s="120" t="s">
        <v>5</v>
      </c>
      <c r="G10" s="120" t="s">
        <v>4</v>
      </c>
      <c r="H10" s="120" t="s">
        <v>5</v>
      </c>
      <c r="I10" s="85"/>
      <c r="J10"/>
      <c r="K10"/>
      <c r="L10"/>
      <c r="M10"/>
      <c r="N10"/>
      <c r="O10"/>
      <c r="P10"/>
      <c r="Q10"/>
      <c r="R10"/>
    </row>
    <row r="11" spans="2:25" ht="15" x14ac:dyDescent="0.25">
      <c r="B11" s="121"/>
      <c r="C11" s="121"/>
      <c r="D11" s="121"/>
      <c r="E11" s="121"/>
      <c r="F11" s="121"/>
      <c r="G11" s="121"/>
      <c r="H11" s="121"/>
      <c r="I11" s="42"/>
      <c r="J11"/>
      <c r="K11"/>
      <c r="L11"/>
      <c r="M11"/>
      <c r="N11"/>
      <c r="O11"/>
      <c r="P11"/>
      <c r="Q11"/>
      <c r="R11"/>
    </row>
    <row r="12" spans="2:25" ht="15" x14ac:dyDescent="0.25">
      <c r="B12" s="122" t="s">
        <v>1</v>
      </c>
      <c r="C12" s="49">
        <v>88833.367838348655</v>
      </c>
      <c r="D12" s="49">
        <v>100</v>
      </c>
      <c r="E12" s="49">
        <v>44062.679638165231</v>
      </c>
      <c r="F12" s="49">
        <v>100</v>
      </c>
      <c r="G12" s="49">
        <v>44770.688200182398</v>
      </c>
      <c r="H12" s="49">
        <v>100</v>
      </c>
      <c r="I12" s="42"/>
      <c r="J12"/>
      <c r="K12"/>
      <c r="L12"/>
      <c r="M12"/>
      <c r="N12"/>
      <c r="O12"/>
      <c r="P12"/>
      <c r="Q12"/>
      <c r="R12"/>
      <c r="S12" s="42"/>
    </row>
    <row r="13" spans="2:25" ht="15" x14ac:dyDescent="0.25">
      <c r="B13" s="50"/>
      <c r="C13" s="51"/>
      <c r="D13" s="52"/>
      <c r="E13" s="51"/>
      <c r="F13" s="52"/>
      <c r="G13" s="51"/>
      <c r="H13" s="52"/>
      <c r="I13" s="42"/>
      <c r="J13"/>
      <c r="K13"/>
      <c r="L13"/>
      <c r="M13"/>
      <c r="N13"/>
      <c r="O13"/>
      <c r="P13"/>
      <c r="Q13"/>
      <c r="R13"/>
      <c r="S13" s="42"/>
    </row>
    <row r="14" spans="2:25" ht="15" x14ac:dyDescent="0.25">
      <c r="B14" s="53" t="s">
        <v>125</v>
      </c>
      <c r="C14" s="53">
        <v>9110.5714570546315</v>
      </c>
      <c r="D14" s="123">
        <f>(C14/$C$12)*100</f>
        <v>10.255798782314848</v>
      </c>
      <c r="E14" s="53">
        <v>4288.7866690129404</v>
      </c>
      <c r="F14" s="123">
        <f>(E14/$E$12)*100</f>
        <v>9.7333768718373062</v>
      </c>
      <c r="G14" s="53">
        <v>4821.7847880416848</v>
      </c>
      <c r="H14" s="123">
        <f>(G14/$G$12)*100</f>
        <v>10.769959055536789</v>
      </c>
      <c r="I14" s="42"/>
      <c r="J14"/>
      <c r="K14"/>
      <c r="L14"/>
      <c r="M14"/>
      <c r="N14"/>
      <c r="O14"/>
      <c r="P14"/>
      <c r="Q14"/>
      <c r="R14"/>
      <c r="S14" s="42"/>
    </row>
    <row r="15" spans="2:25" ht="15" x14ac:dyDescent="0.25">
      <c r="B15" s="53" t="s">
        <v>126</v>
      </c>
      <c r="C15" s="53">
        <v>8381.998700817554</v>
      </c>
      <c r="D15" s="123">
        <f t="shared" ref="D15:D21" si="0">(C15/$C$12)*100</f>
        <v>9.435642152023771</v>
      </c>
      <c r="E15" s="53">
        <v>4344.9872355251409</v>
      </c>
      <c r="F15" s="123">
        <f t="shared" ref="F15:F20" si="1">(E15/$E$12)*100</f>
        <v>9.8609237368344171</v>
      </c>
      <c r="G15" s="53">
        <v>4037.0114652923894</v>
      </c>
      <c r="H15" s="123">
        <f>(G15/$G$12)*100</f>
        <v>9.0170860167298983</v>
      </c>
      <c r="I15" s="42"/>
      <c r="J15"/>
      <c r="K15"/>
      <c r="L15"/>
      <c r="M15"/>
      <c r="N15"/>
      <c r="O15"/>
      <c r="P15"/>
      <c r="Q15"/>
      <c r="R15"/>
      <c r="S15" s="42"/>
      <c r="T15" s="42"/>
      <c r="U15" s="42"/>
      <c r="V15" s="42"/>
      <c r="W15" s="42"/>
      <c r="X15" s="42"/>
      <c r="Y15" s="42"/>
    </row>
    <row r="16" spans="2:25" ht="15" x14ac:dyDescent="0.25">
      <c r="B16" s="53" t="s">
        <v>127</v>
      </c>
      <c r="C16" s="53">
        <v>10701.76206944469</v>
      </c>
      <c r="D16" s="123">
        <f t="shared" si="0"/>
        <v>12.047007031095387</v>
      </c>
      <c r="E16" s="53">
        <v>5155.0858171972341</v>
      </c>
      <c r="F16" s="123">
        <f t="shared" si="1"/>
        <v>11.699437845201127</v>
      </c>
      <c r="G16" s="53">
        <v>5546.6762522474764</v>
      </c>
      <c r="H16" s="123">
        <f t="shared" ref="H16:H21" si="2">(G16/$G$12)*100</f>
        <v>12.389079719853131</v>
      </c>
      <c r="I16" s="42"/>
      <c r="J16"/>
      <c r="K16"/>
      <c r="L16"/>
      <c r="M16"/>
      <c r="N16"/>
      <c r="O16"/>
      <c r="P16"/>
      <c r="Q16"/>
      <c r="R16"/>
      <c r="S16" s="42"/>
      <c r="T16" s="42"/>
      <c r="U16" s="42"/>
      <c r="V16" s="42"/>
      <c r="W16" s="42"/>
      <c r="X16" s="42"/>
      <c r="Y16" s="42"/>
    </row>
    <row r="17" spans="2:25" ht="15" x14ac:dyDescent="0.25">
      <c r="B17" s="53" t="s">
        <v>128</v>
      </c>
      <c r="C17" s="53">
        <v>19058.692712907105</v>
      </c>
      <c r="D17" s="123">
        <f t="shared" si="0"/>
        <v>21.454429992554687</v>
      </c>
      <c r="E17" s="53">
        <v>9306.4803371335875</v>
      </c>
      <c r="F17" s="123">
        <f t="shared" si="1"/>
        <v>21.121004018722246</v>
      </c>
      <c r="G17" s="53">
        <v>9752.2123757735499</v>
      </c>
      <c r="H17" s="123">
        <f t="shared" si="2"/>
        <v>21.78258313155396</v>
      </c>
      <c r="I17" s="42"/>
      <c r="J17"/>
      <c r="K17"/>
      <c r="L17"/>
      <c r="M17"/>
      <c r="N17"/>
      <c r="O17"/>
      <c r="P17"/>
      <c r="Q17"/>
      <c r="R17"/>
      <c r="S17" s="42"/>
      <c r="T17" s="42"/>
      <c r="U17" s="42"/>
      <c r="V17" s="42"/>
      <c r="W17" s="42"/>
      <c r="X17" s="42"/>
      <c r="Y17" s="42"/>
    </row>
    <row r="18" spans="2:25" ht="15" x14ac:dyDescent="0.25">
      <c r="B18" s="53" t="s">
        <v>129</v>
      </c>
      <c r="C18" s="53">
        <v>17200.442785355684</v>
      </c>
      <c r="D18" s="123">
        <f t="shared" si="0"/>
        <v>19.362592237474971</v>
      </c>
      <c r="E18" s="53">
        <v>8947.2190595759566</v>
      </c>
      <c r="F18" s="123">
        <f t="shared" si="1"/>
        <v>20.305662599390015</v>
      </c>
      <c r="G18" s="53">
        <v>8253.2237257797988</v>
      </c>
      <c r="H18" s="123">
        <f t="shared" si="2"/>
        <v>18.434435693454844</v>
      </c>
      <c r="I18" s="42"/>
      <c r="J18"/>
      <c r="K18"/>
      <c r="L18"/>
      <c r="M18"/>
      <c r="N18"/>
      <c r="O18"/>
      <c r="P18"/>
      <c r="Q18"/>
      <c r="R18"/>
      <c r="S18" s="42"/>
      <c r="T18" s="42"/>
      <c r="U18" s="42"/>
      <c r="V18" s="42"/>
      <c r="W18" s="42"/>
      <c r="X18" s="42"/>
      <c r="Y18" s="42"/>
    </row>
    <row r="19" spans="2:25" ht="15" x14ac:dyDescent="0.25">
      <c r="B19" s="53" t="s">
        <v>130</v>
      </c>
      <c r="C19" s="53">
        <v>12569.060373767339</v>
      </c>
      <c r="D19" s="123">
        <f t="shared" si="0"/>
        <v>14.149030572205071</v>
      </c>
      <c r="E19" s="53">
        <v>6343.5352006802459</v>
      </c>
      <c r="F19" s="123">
        <f t="shared" si="1"/>
        <v>14.396616939260642</v>
      </c>
      <c r="G19" s="53">
        <v>6225.5251730871532</v>
      </c>
      <c r="H19" s="123">
        <f t="shared" si="2"/>
        <v>13.905359563049535</v>
      </c>
      <c r="I19" s="42"/>
      <c r="J19"/>
      <c r="K19"/>
      <c r="L19"/>
      <c r="M19"/>
      <c r="N19"/>
      <c r="O19"/>
      <c r="P19"/>
      <c r="Q19"/>
      <c r="R19"/>
      <c r="S19" s="42"/>
      <c r="T19" s="42"/>
      <c r="U19" s="42"/>
      <c r="V19" s="42"/>
      <c r="W19" s="42"/>
      <c r="X19" s="42"/>
      <c r="Y19" s="42"/>
    </row>
    <row r="20" spans="2:25" ht="15" x14ac:dyDescent="0.25">
      <c r="B20" s="53" t="s">
        <v>131</v>
      </c>
      <c r="C20" s="53">
        <v>11810.839738997694</v>
      </c>
      <c r="D20" s="123">
        <f>(C20/$C$12)*100</f>
        <v>13.295499232326808</v>
      </c>
      <c r="E20" s="53">
        <v>5676.5853190388261</v>
      </c>
      <c r="F20" s="123">
        <f t="shared" si="1"/>
        <v>12.882977988751296</v>
      </c>
      <c r="G20" s="53">
        <v>6134.2544199589047</v>
      </c>
      <c r="H20" s="123">
        <f t="shared" si="2"/>
        <v>13.701496819818626</v>
      </c>
      <c r="I20" s="42"/>
      <c r="J20"/>
      <c r="K20"/>
      <c r="L20"/>
      <c r="M20"/>
      <c r="N20"/>
      <c r="O20"/>
      <c r="P20"/>
      <c r="Q20"/>
      <c r="R20"/>
      <c r="S20" s="42"/>
      <c r="T20" s="42"/>
      <c r="U20" s="42"/>
      <c r="V20" s="42"/>
      <c r="W20" s="42"/>
      <c r="X20" s="42"/>
      <c r="Y20" s="42"/>
    </row>
    <row r="21" spans="2:25" ht="15" x14ac:dyDescent="0.25">
      <c r="B21" s="124" t="s">
        <v>122</v>
      </c>
      <c r="C21" s="125">
        <v>0</v>
      </c>
      <c r="D21" s="126">
        <f t="shared" si="0"/>
        <v>0</v>
      </c>
      <c r="E21" s="125">
        <v>0</v>
      </c>
      <c r="F21" s="126">
        <f>(E21/$E$12)*100</f>
        <v>0</v>
      </c>
      <c r="G21" s="125">
        <v>0</v>
      </c>
      <c r="H21" s="126">
        <f t="shared" si="2"/>
        <v>0</v>
      </c>
      <c r="J21"/>
      <c r="K21"/>
      <c r="L21"/>
      <c r="M21"/>
      <c r="N21"/>
      <c r="O21"/>
      <c r="P21"/>
      <c r="Q21"/>
      <c r="R21"/>
      <c r="S21" s="42"/>
      <c r="T21" s="42"/>
      <c r="U21" s="42"/>
      <c r="V21" s="42"/>
      <c r="W21" s="42"/>
      <c r="X21" s="42"/>
      <c r="Y21" s="42"/>
    </row>
    <row r="22" spans="2:25" ht="15" x14ac:dyDescent="0.25">
      <c r="B22" s="51"/>
      <c r="C22" s="53"/>
      <c r="D22" s="123"/>
      <c r="E22" s="53"/>
      <c r="F22" s="123"/>
      <c r="G22" s="53"/>
      <c r="H22" s="123"/>
      <c r="J22"/>
      <c r="K22"/>
      <c r="L22"/>
      <c r="M22"/>
      <c r="N22"/>
      <c r="O22"/>
      <c r="P22"/>
      <c r="Q22"/>
      <c r="R22"/>
      <c r="S22" s="42"/>
      <c r="T22" s="42"/>
      <c r="U22" s="42"/>
      <c r="V22" s="42"/>
      <c r="W22" s="42"/>
      <c r="X22" s="42"/>
      <c r="Y22" s="42"/>
    </row>
    <row r="23" spans="2:25" ht="15" x14ac:dyDescent="0.25"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2:25" ht="15" x14ac:dyDescent="0.25"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5" ht="15" x14ac:dyDescent="0.25"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2:25" ht="15" customHeight="1" x14ac:dyDescent="0.25">
      <c r="J26"/>
      <c r="K26"/>
      <c r="L26"/>
      <c r="M26"/>
      <c r="N26"/>
      <c r="O26"/>
      <c r="P26"/>
      <c r="Q26"/>
      <c r="R26"/>
      <c r="S26" s="42"/>
      <c r="T26" s="42"/>
      <c r="U26" s="42"/>
      <c r="V26" s="42"/>
      <c r="W26" s="42"/>
      <c r="X26" s="42"/>
      <c r="Y26" s="42"/>
    </row>
    <row r="27" spans="2:25" ht="15" customHeight="1" x14ac:dyDescent="0.25">
      <c r="B27" s="47" t="s">
        <v>37</v>
      </c>
      <c r="C27" s="378" t="s">
        <v>310</v>
      </c>
      <c r="D27" s="378"/>
      <c r="E27" s="378"/>
      <c r="F27" s="378"/>
      <c r="G27" s="378"/>
      <c r="H27" s="378"/>
      <c r="I27" s="42"/>
      <c r="J27"/>
      <c r="K27"/>
      <c r="L27"/>
      <c r="M27"/>
      <c r="N27"/>
      <c r="O27"/>
      <c r="P27"/>
      <c r="Q27"/>
      <c r="R27"/>
      <c r="S27" s="42"/>
      <c r="T27" s="42"/>
      <c r="U27" s="42"/>
      <c r="V27" s="42"/>
      <c r="W27" s="42"/>
      <c r="X27" s="42"/>
      <c r="Y27" s="42"/>
    </row>
    <row r="28" spans="2:25" ht="15" customHeight="1" x14ac:dyDescent="0.25">
      <c r="B28" s="44"/>
      <c r="C28" s="44"/>
      <c r="D28" s="44"/>
      <c r="E28" s="44"/>
      <c r="F28" s="44"/>
      <c r="G28" s="44"/>
      <c r="H28" s="44"/>
      <c r="I28" s="42"/>
      <c r="J28"/>
      <c r="K28"/>
      <c r="L28"/>
      <c r="M28"/>
      <c r="N28"/>
      <c r="O28"/>
      <c r="P28"/>
      <c r="Q28"/>
      <c r="R28"/>
    </row>
    <row r="29" spans="2:25" ht="15" customHeight="1" x14ac:dyDescent="0.25">
      <c r="B29" s="119" t="s">
        <v>99</v>
      </c>
      <c r="C29" s="376" t="s">
        <v>1</v>
      </c>
      <c r="D29" s="376"/>
      <c r="E29" s="377" t="s">
        <v>12</v>
      </c>
      <c r="F29" s="377"/>
      <c r="G29" s="376" t="s">
        <v>13</v>
      </c>
      <c r="H29" s="376"/>
      <c r="I29" s="42"/>
      <c r="J29"/>
      <c r="K29"/>
      <c r="L29"/>
      <c r="M29"/>
      <c r="N29"/>
      <c r="O29"/>
      <c r="P29"/>
      <c r="Q29"/>
      <c r="R29"/>
    </row>
    <row r="30" spans="2:25" ht="15" customHeight="1" x14ac:dyDescent="0.25">
      <c r="B30" s="48"/>
      <c r="C30" s="127" t="s">
        <v>4</v>
      </c>
      <c r="D30" s="127" t="s">
        <v>5</v>
      </c>
      <c r="E30" s="127" t="s">
        <v>4</v>
      </c>
      <c r="F30" s="127" t="s">
        <v>5</v>
      </c>
      <c r="G30" s="127" t="s">
        <v>4</v>
      </c>
      <c r="H30" s="127" t="s">
        <v>5</v>
      </c>
      <c r="I30" s="42"/>
      <c r="J30"/>
      <c r="K30"/>
      <c r="L30"/>
      <c r="M30"/>
      <c r="N30"/>
      <c r="O30"/>
      <c r="P30"/>
      <c r="Q30"/>
      <c r="R30"/>
    </row>
    <row r="31" spans="2:25" ht="15" customHeight="1" x14ac:dyDescent="0.25">
      <c r="B31" s="121"/>
      <c r="C31" s="121"/>
      <c r="D31" s="121"/>
      <c r="E31" s="121"/>
      <c r="F31" s="121"/>
      <c r="G31" s="121"/>
      <c r="H31" s="121"/>
      <c r="I31" s="42"/>
      <c r="J31"/>
      <c r="K31"/>
      <c r="L31"/>
      <c r="M31"/>
      <c r="N31"/>
      <c r="O31"/>
      <c r="P31"/>
      <c r="Q31"/>
      <c r="R31"/>
    </row>
    <row r="32" spans="2:25" ht="15" customHeight="1" x14ac:dyDescent="0.25">
      <c r="B32" s="122" t="s">
        <v>1</v>
      </c>
      <c r="C32" s="49">
        <v>88833.367838348655</v>
      </c>
      <c r="D32" s="49">
        <v>100</v>
      </c>
      <c r="E32" s="49">
        <v>40633.000000000298</v>
      </c>
      <c r="F32" s="49">
        <v>100</v>
      </c>
      <c r="G32" s="49">
        <v>48200.367838346217</v>
      </c>
      <c r="H32" s="49">
        <v>100</v>
      </c>
      <c r="I32" s="42"/>
      <c r="J32"/>
      <c r="K32"/>
      <c r="L32"/>
      <c r="M32"/>
      <c r="N32"/>
      <c r="O32"/>
      <c r="P32"/>
      <c r="Q32"/>
      <c r="R32"/>
    </row>
    <row r="33" spans="2:18" ht="15" customHeight="1" x14ac:dyDescent="0.25">
      <c r="B33" s="50"/>
      <c r="C33" s="51"/>
      <c r="D33" s="128"/>
      <c r="E33" s="51"/>
      <c r="F33" s="128"/>
      <c r="G33" s="51"/>
      <c r="H33" s="128"/>
      <c r="I33" s="42"/>
      <c r="J33"/>
      <c r="K33"/>
      <c r="L33"/>
      <c r="M33"/>
      <c r="N33"/>
      <c r="O33"/>
      <c r="P33"/>
      <c r="Q33"/>
      <c r="R33"/>
    </row>
    <row r="34" spans="2:18" ht="15" customHeight="1" x14ac:dyDescent="0.25">
      <c r="B34" s="53" t="s">
        <v>125</v>
      </c>
      <c r="C34" s="53">
        <v>9110.5714570546315</v>
      </c>
      <c r="D34" s="123">
        <f>(C34/$C$32)*100</f>
        <v>10.255798782314848</v>
      </c>
      <c r="E34" s="53">
        <v>4704.2249747219503</v>
      </c>
      <c r="F34" s="123">
        <f>(E34/$E$32)*100</f>
        <v>11.577350859453931</v>
      </c>
      <c r="G34" s="53">
        <v>4406.3464823326703</v>
      </c>
      <c r="H34" s="123">
        <f>(G34/$G$32)*100</f>
        <v>9.1417279160827558</v>
      </c>
      <c r="I34" s="42"/>
      <c r="J34"/>
      <c r="K34"/>
      <c r="L34"/>
      <c r="M34"/>
      <c r="N34"/>
      <c r="O34"/>
      <c r="P34"/>
      <c r="Q34"/>
      <c r="R34"/>
    </row>
    <row r="35" spans="2:18" ht="15" customHeight="1" x14ac:dyDescent="0.25">
      <c r="B35" s="53" t="s">
        <v>126</v>
      </c>
      <c r="C35" s="53">
        <v>8381.998700817554</v>
      </c>
      <c r="D35" s="123">
        <f t="shared" ref="D35:D41" si="3">(C35/$C$32)*100</f>
        <v>9.435642152023771</v>
      </c>
      <c r="E35" s="53">
        <v>6080.570273003058</v>
      </c>
      <c r="F35" s="123">
        <f>(E35/$E$32)*100</f>
        <v>14.964610717896818</v>
      </c>
      <c r="G35" s="53">
        <v>2301.4284278144896</v>
      </c>
      <c r="H35" s="123">
        <f>(G35/$G$32)*100</f>
        <v>4.7747113373345851</v>
      </c>
      <c r="I35" s="42"/>
      <c r="J35"/>
      <c r="K35"/>
      <c r="L35"/>
      <c r="M35"/>
      <c r="N35"/>
      <c r="O35"/>
      <c r="P35"/>
      <c r="Q35"/>
      <c r="R35"/>
    </row>
    <row r="36" spans="2:18" ht="15" customHeight="1" x14ac:dyDescent="0.25">
      <c r="B36" s="53" t="s">
        <v>127</v>
      </c>
      <c r="C36" s="53">
        <v>10701.76206944469</v>
      </c>
      <c r="D36" s="123">
        <f t="shared" si="3"/>
        <v>12.047007031095387</v>
      </c>
      <c r="E36" s="53">
        <v>4622.0551061678543</v>
      </c>
      <c r="F36" s="123">
        <f t="shared" ref="F36:F41" si="4">(E36/$E$32)*100</f>
        <v>11.375126390293163</v>
      </c>
      <c r="G36" s="53">
        <v>6079.7069632768425</v>
      </c>
      <c r="H36" s="123">
        <f t="shared" ref="H36:H41" si="5">(G36/$G$32)*100</f>
        <v>12.613403664608716</v>
      </c>
      <c r="I36" s="42"/>
      <c r="J36"/>
      <c r="K36"/>
      <c r="L36"/>
      <c r="M36"/>
      <c r="N36"/>
      <c r="O36"/>
      <c r="P36"/>
      <c r="Q36"/>
      <c r="R36"/>
    </row>
    <row r="37" spans="2:18" ht="15" customHeight="1" x14ac:dyDescent="0.25">
      <c r="B37" s="53" t="s">
        <v>128</v>
      </c>
      <c r="C37" s="53">
        <v>19058.692712907105</v>
      </c>
      <c r="D37" s="123">
        <f t="shared" si="3"/>
        <v>21.454429992554687</v>
      </c>
      <c r="E37" s="53">
        <v>4580.9701718908073</v>
      </c>
      <c r="F37" s="123">
        <f t="shared" si="4"/>
        <v>11.274014155712779</v>
      </c>
      <c r="G37" s="53">
        <v>14477.722541016303</v>
      </c>
      <c r="H37" s="123">
        <f t="shared" si="5"/>
        <v>30.036539533414985</v>
      </c>
      <c r="I37" s="42"/>
      <c r="J37"/>
      <c r="K37"/>
      <c r="L37"/>
      <c r="M37"/>
      <c r="N37"/>
      <c r="O37"/>
      <c r="P37"/>
      <c r="Q37"/>
      <c r="R37"/>
    </row>
    <row r="38" spans="2:18" ht="15" customHeight="1" x14ac:dyDescent="0.25">
      <c r="B38" s="53" t="s">
        <v>129</v>
      </c>
      <c r="C38" s="53">
        <v>17200.442785355684</v>
      </c>
      <c r="D38" s="123">
        <f t="shared" si="3"/>
        <v>19.362592237474971</v>
      </c>
      <c r="E38" s="53">
        <v>4889.1071789686666</v>
      </c>
      <c r="F38" s="123">
        <f t="shared" si="4"/>
        <v>12.032355915065661</v>
      </c>
      <c r="G38" s="53">
        <v>12311.335606387051</v>
      </c>
      <c r="H38" s="123">
        <f t="shared" si="5"/>
        <v>25.541995130984585</v>
      </c>
      <c r="I38" s="42"/>
      <c r="J38"/>
      <c r="K38"/>
      <c r="L38"/>
      <c r="M38"/>
      <c r="N38"/>
      <c r="O38"/>
      <c r="P38"/>
      <c r="Q38"/>
      <c r="R38"/>
    </row>
    <row r="39" spans="2:18" ht="15" customHeight="1" x14ac:dyDescent="0.25">
      <c r="B39" s="53" t="s">
        <v>130</v>
      </c>
      <c r="C39" s="53">
        <v>12569.060373767339</v>
      </c>
      <c r="D39" s="123">
        <f t="shared" si="3"/>
        <v>14.149030572205071</v>
      </c>
      <c r="E39" s="53">
        <v>6265.4524772497734</v>
      </c>
      <c r="F39" s="123">
        <f t="shared" si="4"/>
        <v>15.419615773508546</v>
      </c>
      <c r="G39" s="53">
        <v>6303.6078965176112</v>
      </c>
      <c r="H39" s="123">
        <f t="shared" si="5"/>
        <v>13.077924877375565</v>
      </c>
      <c r="I39" s="42"/>
      <c r="J39" s="42"/>
      <c r="K39" s="42"/>
      <c r="L39" s="42"/>
      <c r="M39" s="42"/>
      <c r="N39" s="42"/>
    </row>
    <row r="40" spans="2:18" ht="15" customHeight="1" x14ac:dyDescent="0.25">
      <c r="B40" s="53" t="s">
        <v>131</v>
      </c>
      <c r="C40" s="53">
        <v>11810.839738997694</v>
      </c>
      <c r="D40" s="123">
        <f>(C40/$C$32)*100</f>
        <v>13.295499232326808</v>
      </c>
      <c r="E40" s="53">
        <v>9490.6198179979838</v>
      </c>
      <c r="F40" s="123">
        <f>(E40/$E$32)*100</f>
        <v>23.356926188068599</v>
      </c>
      <c r="G40" s="53">
        <v>2320.2199209997161</v>
      </c>
      <c r="H40" s="123">
        <f>(G40/$G$32)*100</f>
        <v>4.8136975401956272</v>
      </c>
      <c r="I40" s="42"/>
      <c r="J40" s="42"/>
      <c r="K40" s="42"/>
      <c r="L40" s="42"/>
      <c r="M40" s="42"/>
      <c r="N40" s="42"/>
    </row>
    <row r="41" spans="2:18" ht="15" customHeight="1" x14ac:dyDescent="0.25">
      <c r="B41" s="124" t="s">
        <v>122</v>
      </c>
      <c r="C41" s="125">
        <v>0</v>
      </c>
      <c r="D41" s="126">
        <f t="shared" si="3"/>
        <v>0</v>
      </c>
      <c r="E41" s="125">
        <v>0</v>
      </c>
      <c r="F41" s="126">
        <f t="shared" si="4"/>
        <v>0</v>
      </c>
      <c r="G41" s="125">
        <v>0</v>
      </c>
      <c r="H41" s="123">
        <f t="shared" si="5"/>
        <v>0</v>
      </c>
      <c r="I41" s="42"/>
      <c r="J41" s="42"/>
      <c r="K41" s="42"/>
      <c r="L41" s="42"/>
      <c r="M41" s="42"/>
      <c r="N41" s="42"/>
    </row>
    <row r="42" spans="2:18" ht="15" customHeight="1" x14ac:dyDescent="0.25">
      <c r="I42" s="42"/>
    </row>
    <row r="43" spans="2:18" ht="15" customHeight="1" x14ac:dyDescent="0.2">
      <c r="B43" s="55" t="s">
        <v>38</v>
      </c>
    </row>
    <row r="44" spans="2:18" ht="15" customHeight="1" x14ac:dyDescent="0.2"/>
    <row r="54" spans="1:25" s="42" customFormat="1" ht="12.75" customHeight="1" x14ac:dyDescent="0.25">
      <c r="A54" s="56"/>
      <c r="B54" s="56"/>
      <c r="C54" s="56"/>
      <c r="D54" s="56"/>
      <c r="E54" s="56"/>
      <c r="F54" s="56"/>
      <c r="G54" s="56"/>
      <c r="H54" s="5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" x14ac:dyDescent="0.25">
      <c r="A55" s="116"/>
      <c r="B55" s="116"/>
      <c r="C55" s="116"/>
      <c r="D55" s="116"/>
      <c r="E55" s="116"/>
      <c r="F55" s="116"/>
      <c r="G55" s="116"/>
      <c r="H55" s="116"/>
      <c r="I55" s="56"/>
      <c r="S55" s="42"/>
      <c r="T55" s="42"/>
      <c r="U55" s="42"/>
      <c r="V55" s="42"/>
      <c r="W55" s="42"/>
      <c r="X55" s="42"/>
      <c r="Y55" s="42"/>
    </row>
    <row r="57" spans="1:25" ht="15" x14ac:dyDescent="0.25">
      <c r="J57" s="42"/>
      <c r="K57" s="42"/>
      <c r="L57" s="42"/>
      <c r="M57" s="42"/>
      <c r="N57" s="42"/>
      <c r="O57" s="42"/>
      <c r="P57" s="42"/>
      <c r="Q57" s="42"/>
      <c r="R57" s="42"/>
    </row>
  </sheetData>
  <mergeCells count="8">
    <mergeCell ref="C29:D29"/>
    <mergeCell ref="E29:F29"/>
    <mergeCell ref="G29:H29"/>
    <mergeCell ref="C7:H7"/>
    <mergeCell ref="C27:H27"/>
    <mergeCell ref="C9:D9"/>
    <mergeCell ref="E9:F9"/>
    <mergeCell ref="G9:H9"/>
  </mergeCells>
  <pageMargins left="0.7" right="0.7" top="0.75" bottom="0.75" header="0.3" footer="0.3"/>
  <pageSetup scale="96" orientation="portrait" r:id="rId1"/>
  <rowBreaks count="1" manualBreakCount="1">
    <brk id="56" max="8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257175</xdr:colOff>
                <xdr:row>2</xdr:row>
                <xdr:rowOff>85725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workbookViewId="0"/>
  </sheetViews>
  <sheetFormatPr defaultRowHeight="15" x14ac:dyDescent="0.25"/>
  <cols>
    <col min="1" max="1" width="9.140625" style="15"/>
    <col min="2" max="2" width="10.28515625" style="15" customWidth="1"/>
    <col min="3" max="3" width="9.5703125" style="15" customWidth="1"/>
    <col min="4" max="4" width="13.5703125" style="15" customWidth="1"/>
    <col min="5" max="5" width="15.85546875" style="15" customWidth="1"/>
    <col min="6" max="6" width="11" style="15" customWidth="1"/>
    <col min="7" max="9" width="9.140625" style="15"/>
    <col min="16" max="16384" width="9.140625" style="15"/>
  </cols>
  <sheetData>
    <row r="1" spans="3:15" s="13" customFormat="1" x14ac:dyDescent="0.25">
      <c r="J1"/>
      <c r="K1"/>
      <c r="L1"/>
      <c r="M1"/>
      <c r="N1"/>
      <c r="O1"/>
    </row>
    <row r="2" spans="3:15" s="13" customFormat="1" x14ac:dyDescent="0.25">
      <c r="J2"/>
      <c r="K2"/>
      <c r="L2"/>
      <c r="M2"/>
      <c r="N2"/>
      <c r="O2"/>
    </row>
    <row r="3" spans="3:15" s="13" customFormat="1" x14ac:dyDescent="0.25">
      <c r="E3" s="1"/>
      <c r="F3" s="1"/>
      <c r="H3" s="14" t="s">
        <v>107</v>
      </c>
      <c r="J3"/>
      <c r="K3"/>
      <c r="L3"/>
      <c r="M3"/>
      <c r="N3"/>
      <c r="O3"/>
    </row>
    <row r="4" spans="3:15" s="12" customFormat="1" ht="9" customHeight="1" x14ac:dyDescent="0.25">
      <c r="J4"/>
      <c r="K4"/>
      <c r="L4"/>
      <c r="M4"/>
      <c r="N4"/>
      <c r="O4"/>
    </row>
    <row r="6" spans="3:15" ht="29.25" customHeight="1" x14ac:dyDescent="0.25">
      <c r="C6" s="379" t="s">
        <v>36</v>
      </c>
      <c r="D6" s="381" t="s">
        <v>120</v>
      </c>
      <c r="E6" s="381"/>
      <c r="F6" s="381"/>
    </row>
    <row r="7" spans="3:15" ht="15" customHeight="1" x14ac:dyDescent="0.25">
      <c r="C7" s="380"/>
      <c r="D7" s="24"/>
      <c r="E7" s="40" t="s">
        <v>4</v>
      </c>
      <c r="F7" s="40" t="s">
        <v>5</v>
      </c>
    </row>
    <row r="8" spans="3:15" ht="15" customHeight="1" x14ac:dyDescent="0.25">
      <c r="D8" s="17"/>
      <c r="E8" s="18"/>
      <c r="F8" s="18"/>
    </row>
    <row r="9" spans="3:15" x14ac:dyDescent="0.25">
      <c r="C9" s="15" t="s">
        <v>10</v>
      </c>
    </row>
    <row r="10" spans="3:15" x14ac:dyDescent="0.25">
      <c r="C10" s="15" t="s">
        <v>1</v>
      </c>
      <c r="E10" s="19"/>
      <c r="F10" s="20"/>
    </row>
    <row r="11" spans="3:15" x14ac:dyDescent="0.25">
      <c r="C11" s="15" t="s">
        <v>14</v>
      </c>
      <c r="E11" s="19"/>
      <c r="F11" s="20"/>
    </row>
    <row r="12" spans="3:15" x14ac:dyDescent="0.25">
      <c r="C12" s="15" t="s">
        <v>15</v>
      </c>
      <c r="E12" s="19"/>
      <c r="F12" s="20"/>
    </row>
    <row r="13" spans="3:15" x14ac:dyDescent="0.25">
      <c r="C13" s="15" t="s">
        <v>16</v>
      </c>
      <c r="E13" s="19"/>
      <c r="F13" s="20"/>
    </row>
    <row r="14" spans="3:15" x14ac:dyDescent="0.25">
      <c r="C14" s="15" t="s">
        <v>17</v>
      </c>
      <c r="E14" s="19"/>
      <c r="F14" s="20"/>
    </row>
    <row r="15" spans="3:15" x14ac:dyDescent="0.25">
      <c r="C15" s="15" t="s">
        <v>18</v>
      </c>
      <c r="E15" s="19"/>
      <c r="F15" s="20"/>
    </row>
    <row r="16" spans="3:15" x14ac:dyDescent="0.25">
      <c r="C16" s="15" t="s">
        <v>19</v>
      </c>
      <c r="E16" s="19"/>
      <c r="F16" s="20"/>
    </row>
    <row r="17" spans="3:6" x14ac:dyDescent="0.25">
      <c r="C17" s="15" t="s">
        <v>20</v>
      </c>
      <c r="E17" s="19"/>
      <c r="F17" s="20"/>
    </row>
    <row r="18" spans="3:6" x14ac:dyDescent="0.25">
      <c r="E18" s="19"/>
      <c r="F18" s="20"/>
    </row>
    <row r="19" spans="3:6" x14ac:dyDescent="0.25">
      <c r="C19" s="15" t="s">
        <v>9</v>
      </c>
    </row>
    <row r="20" spans="3:6" x14ac:dyDescent="0.25">
      <c r="C20" s="15" t="s">
        <v>1</v>
      </c>
      <c r="E20" s="19"/>
      <c r="F20" s="20"/>
    </row>
    <row r="21" spans="3:6" x14ac:dyDescent="0.25">
      <c r="C21" s="15" t="s">
        <v>14</v>
      </c>
      <c r="E21" s="19"/>
      <c r="F21" s="20"/>
    </row>
    <row r="22" spans="3:6" x14ac:dyDescent="0.25">
      <c r="C22" s="15" t="s">
        <v>15</v>
      </c>
      <c r="E22" s="19"/>
      <c r="F22" s="20"/>
    </row>
    <row r="23" spans="3:6" x14ac:dyDescent="0.25">
      <c r="C23" s="15" t="s">
        <v>16</v>
      </c>
      <c r="E23" s="19"/>
      <c r="F23" s="20"/>
    </row>
    <row r="24" spans="3:6" x14ac:dyDescent="0.25">
      <c r="C24" s="15" t="s">
        <v>17</v>
      </c>
      <c r="E24" s="19"/>
      <c r="F24" s="20"/>
    </row>
    <row r="25" spans="3:6" x14ac:dyDescent="0.25">
      <c r="C25" s="15" t="s">
        <v>18</v>
      </c>
      <c r="E25" s="19"/>
      <c r="F25" s="20"/>
    </row>
    <row r="26" spans="3:6" x14ac:dyDescent="0.25">
      <c r="C26" s="15" t="s">
        <v>19</v>
      </c>
      <c r="E26" s="19"/>
      <c r="F26" s="20"/>
    </row>
    <row r="27" spans="3:6" x14ac:dyDescent="0.25">
      <c r="C27" s="15" t="s">
        <v>20</v>
      </c>
      <c r="E27" s="19"/>
      <c r="F27" s="20"/>
    </row>
    <row r="28" spans="3:6" x14ac:dyDescent="0.25">
      <c r="E28" s="19"/>
      <c r="F28" s="20"/>
    </row>
    <row r="29" spans="3:6" x14ac:dyDescent="0.25">
      <c r="C29" s="15" t="s">
        <v>11</v>
      </c>
    </row>
    <row r="30" spans="3:6" x14ac:dyDescent="0.25">
      <c r="C30" s="15" t="s">
        <v>1</v>
      </c>
      <c r="E30" s="19"/>
      <c r="F30" s="20"/>
    </row>
    <row r="31" spans="3:6" x14ac:dyDescent="0.25">
      <c r="C31" s="15" t="s">
        <v>14</v>
      </c>
      <c r="E31" s="19"/>
      <c r="F31" s="20"/>
    </row>
    <row r="32" spans="3:6" x14ac:dyDescent="0.25">
      <c r="C32" s="15" t="s">
        <v>15</v>
      </c>
      <c r="E32" s="19"/>
      <c r="F32" s="20"/>
    </row>
    <row r="33" spans="2:6" x14ac:dyDescent="0.25">
      <c r="C33" s="15" t="s">
        <v>16</v>
      </c>
      <c r="E33" s="19"/>
      <c r="F33" s="20"/>
    </row>
    <row r="34" spans="2:6" x14ac:dyDescent="0.25">
      <c r="C34" s="15" t="s">
        <v>17</v>
      </c>
      <c r="E34" s="19"/>
      <c r="F34" s="20"/>
    </row>
    <row r="35" spans="2:6" x14ac:dyDescent="0.25">
      <c r="C35" s="15" t="s">
        <v>18</v>
      </c>
      <c r="E35" s="19"/>
      <c r="F35" s="20"/>
    </row>
    <row r="36" spans="2:6" x14ac:dyDescent="0.25">
      <c r="C36" s="15" t="s">
        <v>19</v>
      </c>
      <c r="E36" s="19"/>
      <c r="F36" s="20"/>
    </row>
    <row r="37" spans="2:6" x14ac:dyDescent="0.25">
      <c r="C37" s="21" t="s">
        <v>20</v>
      </c>
      <c r="D37" s="21"/>
      <c r="E37" s="22"/>
      <c r="F37" s="23"/>
    </row>
    <row r="38" spans="2:6" x14ac:dyDescent="0.25">
      <c r="E38" s="19"/>
      <c r="F38" s="20"/>
    </row>
    <row r="39" spans="2:6" x14ac:dyDescent="0.25">
      <c r="C39" s="29" t="s">
        <v>38</v>
      </c>
    </row>
    <row r="40" spans="2:6" x14ac:dyDescent="0.25">
      <c r="E40" s="19"/>
      <c r="F40" s="20"/>
    </row>
    <row r="41" spans="2:6" x14ac:dyDescent="0.25">
      <c r="E41" s="19"/>
      <c r="F41" s="20"/>
    </row>
    <row r="42" spans="2:6" x14ac:dyDescent="0.25">
      <c r="E42" s="19"/>
      <c r="F42" s="20"/>
    </row>
    <row r="43" spans="2:6" x14ac:dyDescent="0.25">
      <c r="E43" s="19"/>
      <c r="F43" s="20"/>
    </row>
    <row r="44" spans="2:6" x14ac:dyDescent="0.25">
      <c r="E44" s="19"/>
      <c r="F44" s="20"/>
    </row>
    <row r="45" spans="2:6" x14ac:dyDescent="0.25">
      <c r="E45" s="19"/>
      <c r="F45" s="20"/>
    </row>
    <row r="46" spans="2:6" x14ac:dyDescent="0.25">
      <c r="E46" s="19"/>
      <c r="F46" s="20"/>
    </row>
    <row r="47" spans="2:6" x14ac:dyDescent="0.25">
      <c r="B47" s="25"/>
      <c r="C47" s="25"/>
      <c r="D47" s="25"/>
      <c r="E47" s="26"/>
      <c r="F47" s="27"/>
    </row>
    <row r="50" spans="1:15" s="12" customFormat="1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/>
      <c r="K50"/>
      <c r="L50"/>
      <c r="M50"/>
      <c r="N50"/>
      <c r="O50"/>
    </row>
    <row r="51" spans="1:15" x14ac:dyDescent="0.25">
      <c r="A51" s="382">
        <v>7</v>
      </c>
      <c r="B51" s="382"/>
      <c r="C51" s="382"/>
      <c r="D51" s="382"/>
      <c r="E51" s="382"/>
      <c r="F51" s="382"/>
      <c r="G51" s="382"/>
      <c r="H51" s="382"/>
    </row>
  </sheetData>
  <mergeCells count="3">
    <mergeCell ref="C6:C7"/>
    <mergeCell ref="D6:F6"/>
    <mergeCell ref="A51:H5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333375</xdr:colOff>
                <xdr:row>2</xdr:row>
                <xdr:rowOff>123825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3:Z137"/>
  <sheetViews>
    <sheetView workbookViewId="0">
      <selection activeCell="O20" sqref="O20"/>
    </sheetView>
  </sheetViews>
  <sheetFormatPr defaultRowHeight="12.75" x14ac:dyDescent="0.2"/>
  <cols>
    <col min="1" max="1" width="9.140625" style="46"/>
    <col min="2" max="2" width="4" style="46" customWidth="1"/>
    <col min="3" max="3" width="9.140625" style="46"/>
    <col min="4" max="4" width="2" style="46" customWidth="1"/>
    <col min="5" max="5" width="13" style="46" customWidth="1"/>
    <col min="6" max="6" width="12.42578125" style="46" customWidth="1"/>
    <col min="7" max="7" width="10.85546875" style="46" customWidth="1"/>
    <col min="8" max="8" width="8.85546875" style="46" customWidth="1"/>
    <col min="9" max="10" width="12.5703125" style="46" customWidth="1"/>
    <col min="11" max="11" width="12.42578125" style="46" customWidth="1"/>
    <col min="12" max="13" width="9.140625" style="46"/>
    <col min="14" max="14" width="10.28515625" style="46" bestFit="1" customWidth="1"/>
    <col min="15" max="15" width="16.7109375" style="46" bestFit="1" customWidth="1"/>
    <col min="16" max="16384" width="9.140625" style="46"/>
  </cols>
  <sheetData>
    <row r="3" spans="3:23" ht="15" x14ac:dyDescent="0.25">
      <c r="H3" s="44"/>
      <c r="I3" s="43" t="s">
        <v>314</v>
      </c>
      <c r="J3" s="57"/>
      <c r="L3" s="57"/>
    </row>
    <row r="7" spans="3:23" x14ac:dyDescent="0.2">
      <c r="C7" s="58">
        <v>1.03</v>
      </c>
      <c r="D7" s="378" t="s">
        <v>307</v>
      </c>
      <c r="E7" s="378"/>
      <c r="F7" s="378"/>
      <c r="G7" s="378"/>
      <c r="H7" s="378"/>
      <c r="I7" s="378"/>
      <c r="J7" s="378"/>
    </row>
    <row r="8" spans="3:23" x14ac:dyDescent="0.2">
      <c r="C8" s="59"/>
      <c r="D8" s="59"/>
      <c r="E8" s="59"/>
      <c r="F8" s="59"/>
      <c r="G8" s="59"/>
      <c r="H8" s="59"/>
      <c r="I8" s="59"/>
      <c r="J8" s="59"/>
    </row>
    <row r="9" spans="3:23" ht="25.5" x14ac:dyDescent="0.2">
      <c r="C9" s="129" t="s">
        <v>22</v>
      </c>
      <c r="D9" s="130"/>
      <c r="E9" s="129" t="s">
        <v>23</v>
      </c>
      <c r="F9" s="129" t="s">
        <v>24</v>
      </c>
      <c r="G9" s="383" t="s">
        <v>25</v>
      </c>
      <c r="H9" s="383"/>
      <c r="I9" s="383" t="s">
        <v>26</v>
      </c>
      <c r="J9" s="383"/>
      <c r="K9" s="130" t="s">
        <v>123</v>
      </c>
    </row>
    <row r="10" spans="3:23" s="100" customFormat="1" x14ac:dyDescent="0.2">
      <c r="C10" s="131">
        <v>1989</v>
      </c>
      <c r="D10" s="131"/>
      <c r="E10" s="132">
        <f t="shared" ref="E10:E15" si="0">G10+I10</f>
        <v>25695</v>
      </c>
      <c r="F10" s="133" t="e">
        <f>(E10/#REF!-1)*100</f>
        <v>#REF!</v>
      </c>
      <c r="G10" s="132">
        <v>17118</v>
      </c>
      <c r="H10" s="134">
        <f t="shared" ref="H10:H15" si="1">G10/E10*100</f>
        <v>66.619964973730291</v>
      </c>
      <c r="I10" s="132">
        <v>8577</v>
      </c>
      <c r="J10" s="135">
        <f t="shared" ref="J10:J15" si="2">I10/E10*100</f>
        <v>33.380035026269702</v>
      </c>
      <c r="K10" s="136"/>
    </row>
    <row r="11" spans="3:23" x14ac:dyDescent="0.2">
      <c r="C11" s="137">
        <v>1990</v>
      </c>
      <c r="D11" s="137"/>
      <c r="E11" s="53">
        <f t="shared" si="0"/>
        <v>26969</v>
      </c>
      <c r="F11" s="138">
        <f>(E11/E10-1)*100</f>
        <v>4.9581630667445031</v>
      </c>
      <c r="G11" s="53">
        <v>17654</v>
      </c>
      <c r="H11" s="63">
        <f t="shared" si="1"/>
        <v>65.460343357187881</v>
      </c>
      <c r="I11" s="53">
        <v>9315</v>
      </c>
      <c r="J11" s="63">
        <f t="shared" si="2"/>
        <v>34.539656642812119</v>
      </c>
      <c r="K11" s="139" t="s">
        <v>124</v>
      </c>
    </row>
    <row r="12" spans="3:23" ht="15" x14ac:dyDescent="0.25">
      <c r="C12" s="137">
        <v>1991</v>
      </c>
      <c r="D12" s="137"/>
      <c r="E12" s="53">
        <f t="shared" si="0"/>
        <v>28039</v>
      </c>
      <c r="F12" s="63">
        <f t="shared" ref="F12:F30" si="3">(E12/E11-1)*100</f>
        <v>3.9675182617078919</v>
      </c>
      <c r="G12" s="53">
        <v>18253</v>
      </c>
      <c r="H12" s="63">
        <f t="shared" si="1"/>
        <v>65.098612646670702</v>
      </c>
      <c r="I12" s="53">
        <v>9786</v>
      </c>
      <c r="J12" s="63">
        <f t="shared" si="2"/>
        <v>34.901387353329291</v>
      </c>
      <c r="K12" s="139" t="s">
        <v>124</v>
      </c>
      <c r="Q12" s="42"/>
      <c r="R12" s="42"/>
      <c r="S12" s="42"/>
      <c r="T12" s="42"/>
      <c r="U12" s="42"/>
      <c r="V12" s="42"/>
      <c r="W12" s="42"/>
    </row>
    <row r="13" spans="3:23" ht="15" x14ac:dyDescent="0.25">
      <c r="C13" s="137">
        <v>1992</v>
      </c>
      <c r="D13" s="137"/>
      <c r="E13" s="53">
        <f t="shared" si="0"/>
        <v>29308</v>
      </c>
      <c r="F13" s="63">
        <f t="shared" si="3"/>
        <v>4.5258390099504275</v>
      </c>
      <c r="G13" s="53">
        <v>18652</v>
      </c>
      <c r="H13" s="63">
        <f t="shared" si="1"/>
        <v>63.641326600245662</v>
      </c>
      <c r="I13" s="53">
        <v>10656</v>
      </c>
      <c r="J13" s="63">
        <f t="shared" si="2"/>
        <v>36.358673399754331</v>
      </c>
      <c r="K13" s="139" t="s">
        <v>124</v>
      </c>
      <c r="Q13" s="42"/>
      <c r="R13" s="42"/>
      <c r="S13" s="42"/>
      <c r="T13" s="42"/>
      <c r="U13" s="42"/>
      <c r="V13" s="42"/>
      <c r="W13" s="42"/>
    </row>
    <row r="14" spans="3:23" ht="15" x14ac:dyDescent="0.25">
      <c r="C14" s="137">
        <v>1993</v>
      </c>
      <c r="D14" s="137"/>
      <c r="E14" s="53">
        <f t="shared" si="0"/>
        <v>30719</v>
      </c>
      <c r="F14" s="63">
        <f t="shared" si="3"/>
        <v>4.8143851508120727</v>
      </c>
      <c r="G14" s="53">
        <v>19487</v>
      </c>
      <c r="H14" s="63">
        <f t="shared" si="1"/>
        <v>63.436309775708843</v>
      </c>
      <c r="I14" s="53">
        <v>11232</v>
      </c>
      <c r="J14" s="63">
        <f t="shared" si="2"/>
        <v>36.563690224291157</v>
      </c>
      <c r="K14" s="139" t="s">
        <v>124</v>
      </c>
      <c r="Q14" s="42"/>
      <c r="R14" s="42"/>
      <c r="S14" s="42"/>
      <c r="T14" s="42"/>
      <c r="U14" s="42"/>
      <c r="V14" s="42"/>
      <c r="W14" s="42"/>
    </row>
    <row r="15" spans="3:23" ht="15" x14ac:dyDescent="0.25">
      <c r="C15" s="137">
        <v>1994</v>
      </c>
      <c r="D15" s="137"/>
      <c r="E15" s="53">
        <f t="shared" si="0"/>
        <v>31931</v>
      </c>
      <c r="F15" s="63">
        <f t="shared" si="3"/>
        <v>3.9454409323220085</v>
      </c>
      <c r="G15" s="53">
        <v>20035</v>
      </c>
      <c r="H15" s="63">
        <f t="shared" si="1"/>
        <v>62.744668190786378</v>
      </c>
      <c r="I15" s="53">
        <v>11896</v>
      </c>
      <c r="J15" s="63">
        <f t="shared" si="2"/>
        <v>37.255331809213615</v>
      </c>
      <c r="K15" s="139" t="s">
        <v>124</v>
      </c>
      <c r="Q15" s="42"/>
      <c r="R15" s="42"/>
      <c r="S15" s="42"/>
      <c r="T15" s="42"/>
      <c r="U15" s="42"/>
      <c r="V15" s="42"/>
      <c r="W15" s="42"/>
    </row>
    <row r="16" spans="3:23" ht="15" x14ac:dyDescent="0.25">
      <c r="C16" s="137"/>
      <c r="D16" s="137"/>
      <c r="E16" s="53"/>
      <c r="F16" s="63"/>
      <c r="G16" s="53"/>
      <c r="H16" s="63"/>
      <c r="I16" s="53"/>
      <c r="J16" s="63"/>
      <c r="K16" s="139" t="s">
        <v>124</v>
      </c>
      <c r="Q16" s="42"/>
      <c r="R16" s="42"/>
      <c r="S16" s="42"/>
      <c r="T16" s="42"/>
      <c r="U16" s="42"/>
      <c r="V16" s="42"/>
      <c r="W16" s="42"/>
    </row>
    <row r="17" spans="2:26" ht="15" x14ac:dyDescent="0.25">
      <c r="C17" s="137">
        <v>1995</v>
      </c>
      <c r="D17" s="137"/>
      <c r="E17" s="53">
        <f>G17+I17</f>
        <v>33332</v>
      </c>
      <c r="F17" s="63">
        <f>(E17/E15-1)*100</f>
        <v>4.3875857317340561</v>
      </c>
      <c r="G17" s="53">
        <v>20666</v>
      </c>
      <c r="H17" s="63">
        <f>G17/E17*100</f>
        <v>62.000480019200765</v>
      </c>
      <c r="I17" s="53">
        <v>12666</v>
      </c>
      <c r="J17" s="63">
        <f>I17/E17*100</f>
        <v>37.999519980799235</v>
      </c>
      <c r="K17" s="139" t="s">
        <v>124</v>
      </c>
      <c r="Q17" s="42"/>
      <c r="R17" s="42"/>
      <c r="S17" s="42"/>
      <c r="T17" s="42"/>
      <c r="U17" s="42"/>
      <c r="V17" s="42"/>
      <c r="W17" s="42"/>
    </row>
    <row r="18" spans="2:26" ht="15" x14ac:dyDescent="0.25">
      <c r="C18" s="137">
        <v>1996</v>
      </c>
      <c r="D18" s="137"/>
      <c r="E18" s="53">
        <v>35200</v>
      </c>
      <c r="F18" s="63">
        <f t="shared" si="3"/>
        <v>5.6042241689667538</v>
      </c>
      <c r="G18" s="53">
        <f>E18*0.59</f>
        <v>20768</v>
      </c>
      <c r="H18" s="63">
        <f>G18/E18*100</f>
        <v>59</v>
      </c>
      <c r="I18" s="53">
        <v>13785</v>
      </c>
      <c r="J18" s="63">
        <f>I18/E18*100</f>
        <v>39.161931818181813</v>
      </c>
      <c r="K18" s="139" t="s">
        <v>124</v>
      </c>
      <c r="Q18" s="42"/>
      <c r="R18" s="42"/>
      <c r="S18" s="42"/>
      <c r="T18" s="42"/>
      <c r="U18" s="42"/>
      <c r="V18" s="42"/>
      <c r="W18" s="42"/>
    </row>
    <row r="19" spans="2:26" ht="15" x14ac:dyDescent="0.25">
      <c r="C19" s="137">
        <v>1997</v>
      </c>
      <c r="D19" s="137"/>
      <c r="E19" s="53">
        <v>36600</v>
      </c>
      <c r="F19" s="63">
        <f t="shared" si="3"/>
        <v>3.9772727272727293</v>
      </c>
      <c r="G19" s="53">
        <f>E19*0.58</f>
        <v>21228</v>
      </c>
      <c r="H19" s="63">
        <f>G19/E19*100</f>
        <v>57.999999999999993</v>
      </c>
      <c r="I19" s="53">
        <f>E19-G19</f>
        <v>15372</v>
      </c>
      <c r="J19" s="63">
        <f>I19/E19*100</f>
        <v>42</v>
      </c>
      <c r="K19" s="139" t="s">
        <v>124</v>
      </c>
      <c r="Q19" s="42"/>
      <c r="R19" s="42"/>
      <c r="S19" s="42"/>
      <c r="T19" s="42"/>
      <c r="U19" s="42"/>
      <c r="V19" s="42"/>
      <c r="W19" s="42"/>
    </row>
    <row r="20" spans="2:26" ht="15" x14ac:dyDescent="0.25">
      <c r="C20" s="137">
        <v>1998</v>
      </c>
      <c r="D20" s="137"/>
      <c r="E20" s="53">
        <v>38400</v>
      </c>
      <c r="F20" s="63">
        <f t="shared" si="3"/>
        <v>4.9180327868852514</v>
      </c>
      <c r="G20" s="53">
        <f>E20*0.55</f>
        <v>21120</v>
      </c>
      <c r="H20" s="63">
        <f>G20/E20*100</f>
        <v>55.000000000000007</v>
      </c>
      <c r="I20" s="53">
        <f>E20-G20</f>
        <v>17280</v>
      </c>
      <c r="J20" s="63">
        <f>I20/E20*100</f>
        <v>45</v>
      </c>
      <c r="K20" s="139" t="s">
        <v>124</v>
      </c>
      <c r="Q20" s="42"/>
      <c r="R20" s="42"/>
      <c r="S20" s="42"/>
      <c r="T20" s="42"/>
      <c r="U20" s="42"/>
      <c r="V20" s="42"/>
      <c r="W20" s="42"/>
    </row>
    <row r="21" spans="2:26" ht="15" x14ac:dyDescent="0.25">
      <c r="C21" s="140" t="s">
        <v>139</v>
      </c>
      <c r="D21" s="137"/>
      <c r="E21" s="53">
        <v>39600</v>
      </c>
      <c r="F21" s="63">
        <f t="shared" si="3"/>
        <v>3.125</v>
      </c>
      <c r="G21" s="53">
        <f>E21*0.53</f>
        <v>20988</v>
      </c>
      <c r="H21" s="63">
        <f>G21/E21*100</f>
        <v>53</v>
      </c>
      <c r="I21" s="53">
        <f>E21-G21</f>
        <v>18612</v>
      </c>
      <c r="J21" s="63">
        <f>I21/E21*100</f>
        <v>47</v>
      </c>
      <c r="K21" s="139" t="s">
        <v>124</v>
      </c>
      <c r="Q21" s="42"/>
      <c r="R21" s="42"/>
      <c r="S21" s="42"/>
      <c r="T21" s="42"/>
      <c r="U21" s="42"/>
      <c r="V21" s="42"/>
      <c r="W21" s="42"/>
    </row>
    <row r="22" spans="2:26" x14ac:dyDescent="0.2">
      <c r="C22" s="137"/>
      <c r="D22" s="137"/>
      <c r="E22" s="53"/>
      <c r="F22" s="63"/>
      <c r="G22" s="53"/>
      <c r="H22" s="63"/>
      <c r="I22" s="53"/>
      <c r="J22" s="63"/>
      <c r="K22" s="139" t="s">
        <v>124</v>
      </c>
    </row>
    <row r="23" spans="2:26" x14ac:dyDescent="0.2">
      <c r="B23" s="64"/>
      <c r="C23" s="137">
        <v>2000</v>
      </c>
      <c r="D23" s="137"/>
      <c r="E23" s="53">
        <v>40800</v>
      </c>
      <c r="F23" s="63">
        <f>(E23/E21-1)*100</f>
        <v>3.0303030303030276</v>
      </c>
      <c r="G23" s="53">
        <f>E23*0.53</f>
        <v>21624</v>
      </c>
      <c r="H23" s="63">
        <f>G23/E23*100</f>
        <v>53</v>
      </c>
      <c r="I23" s="53">
        <f>E23-G23</f>
        <v>19176</v>
      </c>
      <c r="J23" s="63">
        <f>I23/E23*100</f>
        <v>47</v>
      </c>
      <c r="K23" s="139" t="s">
        <v>124</v>
      </c>
    </row>
    <row r="24" spans="2:26" x14ac:dyDescent="0.2">
      <c r="B24" s="64"/>
      <c r="C24" s="137">
        <v>2001</v>
      </c>
      <c r="D24" s="137"/>
      <c r="E24" s="53">
        <v>41900</v>
      </c>
      <c r="F24" s="63">
        <f t="shared" si="3"/>
        <v>2.6960784313725394</v>
      </c>
      <c r="G24" s="53">
        <f>E24*0.53</f>
        <v>22207</v>
      </c>
      <c r="H24" s="63">
        <f>G24/E24*100</f>
        <v>53</v>
      </c>
      <c r="I24" s="53">
        <f>E24-G24</f>
        <v>19693</v>
      </c>
      <c r="J24" s="63">
        <f>I24/E24*100</f>
        <v>47</v>
      </c>
      <c r="K24" s="139" t="s">
        <v>124</v>
      </c>
    </row>
    <row r="25" spans="2:26" x14ac:dyDescent="0.2">
      <c r="B25" s="64"/>
      <c r="C25" s="137">
        <v>2002</v>
      </c>
      <c r="D25" s="137"/>
      <c r="E25" s="53">
        <v>43004</v>
      </c>
      <c r="F25" s="63">
        <f t="shared" si="3"/>
        <v>2.6348448687350867</v>
      </c>
      <c r="G25" s="53">
        <v>24892</v>
      </c>
      <c r="H25" s="63">
        <v>58</v>
      </c>
      <c r="I25" s="53">
        <v>18112</v>
      </c>
      <c r="J25" s="63">
        <f>I25/E25*100</f>
        <v>42.117012370942234</v>
      </c>
      <c r="K25" s="139" t="s">
        <v>124</v>
      </c>
      <c r="O25" s="49"/>
      <c r="P25" s="49"/>
      <c r="Q25" s="49"/>
      <c r="R25" s="49"/>
      <c r="S25" s="49"/>
      <c r="T25" s="49"/>
    </row>
    <row r="26" spans="2:26" ht="15" x14ac:dyDescent="0.25">
      <c r="B26" s="64"/>
      <c r="C26" s="137">
        <v>2003</v>
      </c>
      <c r="D26" s="137"/>
      <c r="E26" s="53">
        <v>44144</v>
      </c>
      <c r="F26" s="63">
        <f t="shared" si="3"/>
        <v>2.6509161938424342</v>
      </c>
      <c r="G26" s="53">
        <v>26087</v>
      </c>
      <c r="H26" s="63">
        <f>G26/E26*100</f>
        <v>59.095233780355208</v>
      </c>
      <c r="I26" s="53">
        <v>18057</v>
      </c>
      <c r="J26" s="63">
        <f>I26/E26*100</f>
        <v>40.904766219644799</v>
      </c>
      <c r="K26" s="139" t="s">
        <v>124</v>
      </c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2:26" ht="15" x14ac:dyDescent="0.25">
      <c r="B27" s="64"/>
      <c r="C27" s="137">
        <v>2004</v>
      </c>
      <c r="D27" s="141" t="s">
        <v>27</v>
      </c>
      <c r="E27" s="53">
        <v>36340</v>
      </c>
      <c r="F27" s="142">
        <f>(E27/E26-1)*100</f>
        <v>-17.678506705328012</v>
      </c>
      <c r="G27" s="53">
        <v>22131</v>
      </c>
      <c r="H27" s="63">
        <f>G27/E27*100</f>
        <v>60.899834892680239</v>
      </c>
      <c r="I27" s="53">
        <v>14209</v>
      </c>
      <c r="J27" s="63">
        <f>I27/E27*100</f>
        <v>39.100165107319754</v>
      </c>
      <c r="K27" s="139" t="s">
        <v>124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26" ht="15" x14ac:dyDescent="0.25">
      <c r="B28" s="64"/>
      <c r="C28" s="137"/>
      <c r="D28" s="137"/>
      <c r="E28" s="53"/>
      <c r="F28" s="63"/>
      <c r="G28" s="53"/>
      <c r="H28" s="63"/>
      <c r="I28" s="53"/>
      <c r="J28" s="63"/>
      <c r="K28" s="139" t="s">
        <v>124</v>
      </c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2:26" ht="15" x14ac:dyDescent="0.25">
      <c r="B29" s="64"/>
      <c r="C29" s="137">
        <v>2005</v>
      </c>
      <c r="D29" s="141" t="s">
        <v>28</v>
      </c>
      <c r="E29" s="53">
        <f>+G29+I29</f>
        <v>52466</v>
      </c>
      <c r="F29" s="63">
        <f>(E29/E27-1)*100</f>
        <v>44.375343973582829</v>
      </c>
      <c r="G29" s="53">
        <v>31787</v>
      </c>
      <c r="H29" s="63">
        <f t="shared" ref="H29:H36" si="4">G29/E29*100</f>
        <v>60.585903251629624</v>
      </c>
      <c r="I29" s="53">
        <v>20679</v>
      </c>
      <c r="J29" s="63">
        <f t="shared" ref="J29:J36" si="5">I29/E29*100</f>
        <v>39.414096748370376</v>
      </c>
      <c r="K29" s="139" t="s">
        <v>124</v>
      </c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" x14ac:dyDescent="0.25">
      <c r="B30" s="64"/>
      <c r="C30" s="137">
        <v>2006</v>
      </c>
      <c r="D30" s="143"/>
      <c r="E30" s="53">
        <f t="shared" ref="E30:E36" si="6">+G30+I30</f>
        <v>53172</v>
      </c>
      <c r="F30" s="63">
        <f t="shared" si="3"/>
        <v>1.3456333625586181</v>
      </c>
      <c r="G30" s="53">
        <v>30840</v>
      </c>
      <c r="H30" s="63">
        <f t="shared" si="4"/>
        <v>58.000451365380279</v>
      </c>
      <c r="I30" s="53">
        <v>22332</v>
      </c>
      <c r="J30" s="63">
        <f t="shared" si="5"/>
        <v>41.999548634619728</v>
      </c>
      <c r="K30" s="139" t="s">
        <v>124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" x14ac:dyDescent="0.25">
      <c r="B31" s="64"/>
      <c r="C31" s="137">
        <v>2007</v>
      </c>
      <c r="D31" s="143"/>
      <c r="E31" s="53">
        <f t="shared" si="6"/>
        <v>54986</v>
      </c>
      <c r="F31" s="63">
        <f t="shared" ref="F31:F36" si="7">(E31/E30-1)*100</f>
        <v>3.4115699992477211</v>
      </c>
      <c r="G31" s="53">
        <v>31342</v>
      </c>
      <c r="H31" s="63">
        <f t="shared" si="4"/>
        <v>56.999963627105075</v>
      </c>
      <c r="I31" s="53">
        <v>23644</v>
      </c>
      <c r="J31" s="63">
        <f t="shared" si="5"/>
        <v>43.000036372894918</v>
      </c>
      <c r="K31" s="139" t="s">
        <v>124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" x14ac:dyDescent="0.25">
      <c r="C32" s="137">
        <v>2008</v>
      </c>
      <c r="D32" s="59"/>
      <c r="E32" s="53">
        <f t="shared" si="6"/>
        <v>57010</v>
      </c>
      <c r="F32" s="63">
        <f t="shared" si="7"/>
        <v>3.6809369657730961</v>
      </c>
      <c r="G32" s="53">
        <v>31858</v>
      </c>
      <c r="H32" s="63">
        <f t="shared" si="4"/>
        <v>55.881424311524299</v>
      </c>
      <c r="I32" s="53">
        <v>25152</v>
      </c>
      <c r="J32" s="63">
        <f t="shared" si="5"/>
        <v>44.118575688475708</v>
      </c>
      <c r="K32" s="62">
        <v>31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" x14ac:dyDescent="0.25">
      <c r="C33" s="137">
        <v>2009</v>
      </c>
      <c r="D33" s="144"/>
      <c r="E33" s="53">
        <f t="shared" si="6"/>
        <v>56005</v>
      </c>
      <c r="F33" s="142">
        <f t="shared" si="7"/>
        <v>-1.7628486230485851</v>
      </c>
      <c r="G33" s="53">
        <v>31264</v>
      </c>
      <c r="H33" s="63">
        <f t="shared" si="4"/>
        <v>55.823587179716093</v>
      </c>
      <c r="I33" s="53">
        <v>24741</v>
      </c>
      <c r="J33" s="63">
        <f t="shared" si="5"/>
        <v>44.176412820283907</v>
      </c>
      <c r="K33" s="62">
        <v>31.8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" x14ac:dyDescent="0.25">
      <c r="C34" s="137"/>
      <c r="D34" s="144"/>
      <c r="E34" s="53"/>
      <c r="F34" s="142"/>
      <c r="G34" s="53"/>
      <c r="H34" s="63"/>
      <c r="I34" s="53"/>
      <c r="J34" s="63"/>
      <c r="K34" s="6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" x14ac:dyDescent="0.25">
      <c r="C35" s="140" t="s">
        <v>140</v>
      </c>
      <c r="D35" s="59"/>
      <c r="E35" s="53">
        <f t="shared" si="6"/>
        <v>55036</v>
      </c>
      <c r="F35" s="142">
        <f>(E35/E33-1)*100</f>
        <v>-1.7302026604767429</v>
      </c>
      <c r="G35" s="78">
        <v>30979</v>
      </c>
      <c r="H35" s="63">
        <f t="shared" si="4"/>
        <v>56.288611090922302</v>
      </c>
      <c r="I35" s="78">
        <v>24057</v>
      </c>
      <c r="J35" s="63">
        <f t="shared" si="5"/>
        <v>43.711388909077691</v>
      </c>
      <c r="K35" s="62">
        <v>30.8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" x14ac:dyDescent="0.25">
      <c r="C36" s="137">
        <v>2011</v>
      </c>
      <c r="D36" s="59"/>
      <c r="E36" s="53">
        <f t="shared" si="6"/>
        <v>55517</v>
      </c>
      <c r="F36" s="142">
        <f t="shared" si="7"/>
        <v>0.87397339922958839</v>
      </c>
      <c r="G36" s="78">
        <v>31325</v>
      </c>
      <c r="H36" s="63">
        <f t="shared" si="4"/>
        <v>56.424158365905939</v>
      </c>
      <c r="I36" s="78">
        <v>24192</v>
      </c>
      <c r="J36" s="63">
        <f t="shared" si="5"/>
        <v>43.575841634094061</v>
      </c>
      <c r="K36" s="62">
        <v>29.9</v>
      </c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" x14ac:dyDescent="0.25">
      <c r="C37" s="137">
        <v>2012</v>
      </c>
      <c r="D37" s="59"/>
      <c r="E37" s="53">
        <v>56732.00000000195</v>
      </c>
      <c r="F37" s="142">
        <f>(E37/E36-1)*100</f>
        <v>2.1885188320729609</v>
      </c>
      <c r="G37" s="78">
        <v>32200.999999999356</v>
      </c>
      <c r="H37" s="63">
        <f>G37/E37*100</f>
        <v>56.759853345551448</v>
      </c>
      <c r="I37" s="78">
        <v>24531.000000000822</v>
      </c>
      <c r="J37" s="63">
        <f>I37/E37*100</f>
        <v>43.240146654445425</v>
      </c>
      <c r="K37" s="62">
        <v>31.8</v>
      </c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4.25" customHeight="1" x14ac:dyDescent="0.25">
      <c r="C38" s="110">
        <v>2013</v>
      </c>
      <c r="D38" s="146"/>
      <c r="E38" s="53">
        <v>55747</v>
      </c>
      <c r="F38" s="142">
        <f>(E38/E37-1)*100</f>
        <v>-1.7362335190050038</v>
      </c>
      <c r="G38" s="78">
        <v>32798</v>
      </c>
      <c r="H38" s="63">
        <f>G38/E38*100</f>
        <v>58.833659210361098</v>
      </c>
      <c r="I38" s="78">
        <v>22949</v>
      </c>
      <c r="J38" s="63">
        <f>I38/E38*100</f>
        <v>41.166340789638909</v>
      </c>
      <c r="K38" s="62">
        <v>31.2</v>
      </c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" x14ac:dyDescent="0.25">
      <c r="C39" s="65">
        <v>2014</v>
      </c>
      <c r="E39" s="53">
        <v>58237.999999999462</v>
      </c>
      <c r="F39" s="142">
        <f>(E39/E38-1)*100</f>
        <v>4.4684018870960962</v>
      </c>
      <c r="G39" s="78">
        <v>33446.999999999614</v>
      </c>
      <c r="H39" s="63">
        <f>G39/E39*100</f>
        <v>57.431573886465749</v>
      </c>
      <c r="I39" s="78">
        <v>24790.999999999847</v>
      </c>
      <c r="J39" s="63">
        <f>I39/E39*100</f>
        <v>42.568426113534251</v>
      </c>
      <c r="K39" s="62">
        <v>32</v>
      </c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" x14ac:dyDescent="0.25">
      <c r="C40" s="65"/>
      <c r="E40" s="53"/>
      <c r="F40" s="142"/>
      <c r="G40" s="78"/>
      <c r="H40" s="63"/>
      <c r="I40" s="78"/>
      <c r="J40" s="63"/>
      <c r="K40" s="6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" x14ac:dyDescent="0.25">
      <c r="C41" s="65">
        <v>2015</v>
      </c>
      <c r="E41" s="53">
        <v>60413.267018310042</v>
      </c>
      <c r="F41" s="142">
        <f>(E41/E39-1)*100</f>
        <v>3.7351334494841959</v>
      </c>
      <c r="G41" s="78">
        <v>34237.000000000153</v>
      </c>
      <c r="H41" s="63">
        <f t="shared" ref="H41:H48" si="8">G41/E41*100</f>
        <v>56.671326828962265</v>
      </c>
      <c r="I41" s="78">
        <v>26177.2670183093</v>
      </c>
      <c r="J41" s="63">
        <f>I41/E41*100</f>
        <v>43.33032843659241</v>
      </c>
      <c r="K41" s="62">
        <v>33.299999999999997</v>
      </c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" x14ac:dyDescent="0.25">
      <c r="C42" s="65">
        <v>2016</v>
      </c>
      <c r="E42" s="53">
        <v>61361</v>
      </c>
      <c r="F42" s="142">
        <f>(E42/E41-1)*100</f>
        <v>1.568749760549637</v>
      </c>
      <c r="G42" s="78">
        <v>34113</v>
      </c>
      <c r="H42" s="63">
        <f t="shared" si="8"/>
        <v>55.593944036114138</v>
      </c>
      <c r="I42" s="78">
        <v>27248</v>
      </c>
      <c r="J42" s="63">
        <f>I42/E42*100</f>
        <v>44.406055963885855</v>
      </c>
      <c r="K42" s="62">
        <v>31.9</v>
      </c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" x14ac:dyDescent="0.25">
      <c r="C43" s="65">
        <v>2017</v>
      </c>
      <c r="E43" s="53">
        <v>63415</v>
      </c>
      <c r="F43" s="142">
        <f>(E43/E42-1)*100</f>
        <v>3.3474030736135418</v>
      </c>
      <c r="G43" s="78">
        <v>35878</v>
      </c>
      <c r="H43" s="63">
        <f t="shared" si="8"/>
        <v>56.576519750847588</v>
      </c>
      <c r="I43" s="78">
        <f>+E43-G43</f>
        <v>27537</v>
      </c>
      <c r="J43" s="63">
        <f>I43/E43*100</f>
        <v>43.423480249152405</v>
      </c>
      <c r="K43" s="62">
        <v>33.200000000000003</v>
      </c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" x14ac:dyDescent="0.25">
      <c r="C44" s="65">
        <v>2018</v>
      </c>
      <c r="E44" s="53">
        <v>65812.999999997701</v>
      </c>
      <c r="F44" s="142">
        <f>(E44/E43-1)*100</f>
        <v>3.7814397224595231</v>
      </c>
      <c r="G44" s="78">
        <v>36704.999999999854</v>
      </c>
      <c r="H44" s="63">
        <f t="shared" si="8"/>
        <v>55.771656055796171</v>
      </c>
      <c r="I44" s="78">
        <v>29107.999999999101</v>
      </c>
      <c r="J44" s="63">
        <f>I44/E44*100</f>
        <v>44.228343944205733</v>
      </c>
      <c r="K44" s="62">
        <v>33.799999999999997</v>
      </c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" x14ac:dyDescent="0.25">
      <c r="C45" s="65">
        <v>2019</v>
      </c>
      <c r="D45" s="59"/>
      <c r="E45" s="53">
        <v>69913.999999999316</v>
      </c>
      <c r="F45" s="142">
        <f>(E45/E44-1)*100</f>
        <v>6.2312916900942872</v>
      </c>
      <c r="G45" s="78">
        <v>37362.999999998807</v>
      </c>
      <c r="H45" s="63">
        <f t="shared" si="8"/>
        <v>53.441370827014865</v>
      </c>
      <c r="I45" s="78">
        <f>+E45-G45</f>
        <v>32551.000000000509</v>
      </c>
      <c r="J45" s="63">
        <f>I45/E45*100</f>
        <v>46.558629172985135</v>
      </c>
      <c r="K45" s="62">
        <v>30.170871753270546</v>
      </c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" x14ac:dyDescent="0.25">
      <c r="C46" s="65"/>
      <c r="D46" s="59"/>
      <c r="E46" s="53"/>
      <c r="F46" s="142"/>
      <c r="G46" s="78"/>
      <c r="H46" s="63"/>
      <c r="I46" s="78"/>
      <c r="J46" s="63"/>
      <c r="K46" s="6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" x14ac:dyDescent="0.25">
      <c r="A47" s="140"/>
      <c r="B47" s="140"/>
      <c r="C47" s="140">
        <v>2020</v>
      </c>
      <c r="D47" s="59"/>
      <c r="E47" s="53">
        <v>65786.000000001484</v>
      </c>
      <c r="F47" s="142">
        <f>(E47/E45-1)*100</f>
        <v>-5.9043968303885812</v>
      </c>
      <c r="G47" s="78">
        <v>37815.000000000458</v>
      </c>
      <c r="H47" s="63">
        <f t="shared" si="8"/>
        <v>57.481835040889564</v>
      </c>
      <c r="I47" s="78">
        <v>27970.999999999534</v>
      </c>
      <c r="J47" s="63">
        <v>46.558629172985135</v>
      </c>
      <c r="K47" s="62">
        <v>33.816066995260279</v>
      </c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" x14ac:dyDescent="0.25">
      <c r="A48" s="140"/>
      <c r="B48" s="140"/>
      <c r="C48" s="140" t="s">
        <v>141</v>
      </c>
      <c r="D48" s="59"/>
      <c r="E48" s="53">
        <v>71104.754466642757</v>
      </c>
      <c r="F48" s="142">
        <f>(E48/E47-1)*100</f>
        <v>8.084933673792527</v>
      </c>
      <c r="G48" s="78">
        <v>38046.736516646342</v>
      </c>
      <c r="H48" s="63">
        <f t="shared" si="8"/>
        <v>53.508006323958455</v>
      </c>
      <c r="I48" s="78">
        <v>33058.0179499933</v>
      </c>
      <c r="J48" s="63">
        <f>+I48/E48*100</f>
        <v>46.491993676037154</v>
      </c>
      <c r="K48" s="62">
        <v>31.518197596868259</v>
      </c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" x14ac:dyDescent="0.25">
      <c r="A49" s="140"/>
      <c r="B49" s="140"/>
      <c r="C49" s="140">
        <v>2022</v>
      </c>
      <c r="D49" s="59"/>
      <c r="E49" s="53">
        <v>81546.088299999959</v>
      </c>
      <c r="F49" s="142">
        <f>(E49/E48-1)*100</f>
        <v>14.68443834969646</v>
      </c>
      <c r="G49" s="78">
        <v>38724.000000000124</v>
      </c>
      <c r="H49" s="63">
        <f>G49/E49*100</f>
        <v>47.487256356844945</v>
      </c>
      <c r="I49" s="78">
        <v>42822.088300000185</v>
      </c>
      <c r="J49" s="63">
        <f>+I49/E49*100</f>
        <v>52.512743643155481</v>
      </c>
      <c r="K49" s="62">
        <v>31</v>
      </c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" x14ac:dyDescent="0.25">
      <c r="A50" s="140"/>
      <c r="B50" s="140"/>
      <c r="C50" s="140">
        <v>2023</v>
      </c>
      <c r="D50" s="59"/>
      <c r="E50" s="53">
        <v>84738.261147724901</v>
      </c>
      <c r="F50" s="142">
        <f>(E50/E49-1)*100</f>
        <v>3.9145628126038945</v>
      </c>
      <c r="G50" s="78">
        <v>39067.999999998989</v>
      </c>
      <c r="H50" s="63">
        <f>G50/E50*100</f>
        <v>46.104321083355046</v>
      </c>
      <c r="I50" s="78">
        <v>45670.261147721452</v>
      </c>
      <c r="J50" s="63">
        <f>+I50/E50*100</f>
        <v>53.895678916639689</v>
      </c>
      <c r="K50" s="62">
        <v>28.6</v>
      </c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" x14ac:dyDescent="0.25">
      <c r="A51" s="140"/>
      <c r="B51" s="140"/>
      <c r="C51" s="147">
        <v>2024</v>
      </c>
      <c r="D51" s="148"/>
      <c r="E51" s="124">
        <v>88833</v>
      </c>
      <c r="F51" s="163">
        <f>(E51/E50-1)*100</f>
        <v>4.8322195863055306</v>
      </c>
      <c r="G51" s="124">
        <v>40633</v>
      </c>
      <c r="H51" s="318">
        <f>G51/E51*100</f>
        <v>45.740884581180417</v>
      </c>
      <c r="I51" s="125">
        <f>40016+8184</f>
        <v>48200</v>
      </c>
      <c r="J51" s="165">
        <f>+I51/E51*100</f>
        <v>54.259115418819583</v>
      </c>
      <c r="K51" s="68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" x14ac:dyDescent="0.25">
      <c r="B52" s="59"/>
      <c r="C52" s="137"/>
      <c r="D52" s="137"/>
      <c r="E52" s="51"/>
      <c r="F52" s="52"/>
      <c r="G52" s="51"/>
      <c r="H52" s="149"/>
      <c r="I52" s="150"/>
      <c r="J52" s="60"/>
      <c r="K52" s="59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" x14ac:dyDescent="0.25">
      <c r="C53" s="66" t="s">
        <v>31</v>
      </c>
      <c r="D53" s="66"/>
      <c r="K53" s="59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" x14ac:dyDescent="0.25">
      <c r="B54" s="151" t="s">
        <v>32</v>
      </c>
      <c r="C54" s="46" t="s">
        <v>33</v>
      </c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" x14ac:dyDescent="0.25">
      <c r="B55" s="152"/>
      <c r="C55" s="46" t="s">
        <v>113</v>
      </c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" x14ac:dyDescent="0.25">
      <c r="B56" s="152" t="s">
        <v>28</v>
      </c>
      <c r="C56" s="46" t="s">
        <v>34</v>
      </c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" x14ac:dyDescent="0.25">
      <c r="B57" s="152"/>
      <c r="C57" s="46" t="s">
        <v>35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" x14ac:dyDescent="0.25">
      <c r="B58" s="152"/>
      <c r="C58" s="46" t="s">
        <v>116</v>
      </c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" x14ac:dyDescent="0.25">
      <c r="B59" s="153" t="s">
        <v>138</v>
      </c>
      <c r="C59" s="46" t="s">
        <v>142</v>
      </c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" x14ac:dyDescent="0.25">
      <c r="C60" s="55" t="s">
        <v>38</v>
      </c>
      <c r="D60" s="67"/>
      <c r="E60" s="67"/>
      <c r="F60" s="67"/>
      <c r="G60" s="67"/>
      <c r="H60" s="67"/>
      <c r="I60" s="67"/>
      <c r="J60" s="67"/>
      <c r="K60" s="59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" x14ac:dyDescent="0.25"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" x14ac:dyDescent="0.25">
      <c r="I62" t="s">
        <v>304</v>
      </c>
      <c r="J62"/>
      <c r="K6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" x14ac:dyDescent="0.25">
      <c r="I63" t="s">
        <v>1</v>
      </c>
      <c r="J63" t="s">
        <v>12</v>
      </c>
      <c r="K63" t="s">
        <v>13</v>
      </c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s="42" customFormat="1" ht="12.75" customHeight="1" x14ac:dyDescent="0.25">
      <c r="B64" s="56"/>
      <c r="C64" s="56"/>
      <c r="D64" s="56"/>
      <c r="E64" s="56"/>
      <c r="F64" s="56"/>
      <c r="G64" s="56"/>
      <c r="H64" s="56"/>
      <c r="I64" t="s">
        <v>305</v>
      </c>
      <c r="J64" t="s">
        <v>305</v>
      </c>
      <c r="K64" t="s">
        <v>305</v>
      </c>
      <c r="L64" s="56"/>
    </row>
    <row r="65" spans="2:26" ht="15" x14ac:dyDescent="0.25">
      <c r="B65" s="116"/>
      <c r="C65" s="116"/>
      <c r="D65" s="116"/>
      <c r="E65" s="116"/>
      <c r="F65" s="116"/>
      <c r="G65" s="116"/>
      <c r="H65" s="116"/>
      <c r="I65">
        <v>84738.261147724901</v>
      </c>
      <c r="J65">
        <v>39067.999999998989</v>
      </c>
      <c r="K65">
        <v>45670.261147721452</v>
      </c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2:26" ht="15" x14ac:dyDescent="0.25"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2:26" ht="15" x14ac:dyDescent="0.25"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2:26" ht="15" x14ac:dyDescent="0.25"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2:26" ht="15" x14ac:dyDescent="0.25"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2:26" ht="15" x14ac:dyDescent="0.25"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2:26" ht="15" x14ac:dyDescent="0.25"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2:26" ht="15" x14ac:dyDescent="0.25"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2:26" ht="15" x14ac:dyDescent="0.25"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2:26" ht="15" x14ac:dyDescent="0.25"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2:26" ht="15" x14ac:dyDescent="0.25"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2:26" ht="15" x14ac:dyDescent="0.25"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2:26" ht="15" x14ac:dyDescent="0.25"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2:26" ht="15" x14ac:dyDescent="0.25"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2:26" ht="15" x14ac:dyDescent="0.25"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2:26" ht="15" x14ac:dyDescent="0.25"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4:26" ht="15" x14ac:dyDescent="0.25"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4:26" ht="15" x14ac:dyDescent="0.25"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4:26" ht="15" x14ac:dyDescent="0.25"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4:26" ht="15" x14ac:dyDescent="0.25"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4:26" ht="15" x14ac:dyDescent="0.25"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4:26" ht="15" x14ac:dyDescent="0.25"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4:26" ht="15" x14ac:dyDescent="0.25"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4:26" ht="15" x14ac:dyDescent="0.25"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4:26" ht="15" x14ac:dyDescent="0.25"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4:26" ht="15" x14ac:dyDescent="0.25"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4:26" ht="15" x14ac:dyDescent="0.25"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4:26" ht="15" x14ac:dyDescent="0.25"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4:26" ht="15" x14ac:dyDescent="0.25"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4:26" ht="15" x14ac:dyDescent="0.25"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4:26" ht="15" x14ac:dyDescent="0.25"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4:26" ht="15" x14ac:dyDescent="0.25"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4:26" ht="15" x14ac:dyDescent="0.25"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4:26" ht="15" x14ac:dyDescent="0.25"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4:26" ht="15" x14ac:dyDescent="0.25"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4:26" ht="15" x14ac:dyDescent="0.25"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4:26" ht="15" x14ac:dyDescent="0.25"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4:26" ht="15" x14ac:dyDescent="0.25"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4:26" ht="15" x14ac:dyDescent="0.25"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4:26" ht="15" x14ac:dyDescent="0.25"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4:26" ht="15" x14ac:dyDescent="0.25"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4:26" ht="15" x14ac:dyDescent="0.25"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4:26" ht="15" x14ac:dyDescent="0.25"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4:26" ht="15" x14ac:dyDescent="0.25"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4:26" ht="15" x14ac:dyDescent="0.25"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4:26" ht="15" x14ac:dyDescent="0.25"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4:26" ht="15" x14ac:dyDescent="0.25"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4:26" ht="15" x14ac:dyDescent="0.25"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4:26" ht="15" x14ac:dyDescent="0.25"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4:26" ht="15" x14ac:dyDescent="0.25"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4:26" ht="15" x14ac:dyDescent="0.25"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4:26" ht="15" x14ac:dyDescent="0.25"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4:26" ht="15" x14ac:dyDescent="0.25"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4:26" ht="15" x14ac:dyDescent="0.25"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4:26" ht="15" x14ac:dyDescent="0.25"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4:26" ht="15" x14ac:dyDescent="0.25"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4:26" ht="15" x14ac:dyDescent="0.25"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4:26" ht="15" x14ac:dyDescent="0.25"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4:26" ht="15" x14ac:dyDescent="0.25"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4:26" ht="15" x14ac:dyDescent="0.25"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4:26" ht="15" x14ac:dyDescent="0.25"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4:26" ht="15" x14ac:dyDescent="0.25"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4:26" ht="15" x14ac:dyDescent="0.25"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4:26" ht="15" x14ac:dyDescent="0.25"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4:26" ht="15" x14ac:dyDescent="0.25"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4:26" ht="15" x14ac:dyDescent="0.25"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4:26" ht="15" x14ac:dyDescent="0.25"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4:26" ht="15" x14ac:dyDescent="0.25"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4:26" ht="15" x14ac:dyDescent="0.25"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4:26" ht="15" x14ac:dyDescent="0.25"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4:26" ht="15" x14ac:dyDescent="0.25"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4:26" ht="15" x14ac:dyDescent="0.25"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4:26" ht="15" x14ac:dyDescent="0.25"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</sheetData>
  <mergeCells count="3">
    <mergeCell ref="D7:J7"/>
    <mergeCell ref="G9:H9"/>
    <mergeCell ref="I9:J9"/>
  </mergeCells>
  <pageMargins left="0.7" right="0.7" top="0.75" bottom="0.75" header="0.3" footer="0.3"/>
  <pageSetup scale="79" orientation="portrait" r:id="rId1"/>
  <ignoredErrors>
    <ignoredError sqref="F10" evalError="1"/>
    <ignoredError sqref="C21 C35 C48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5122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57150</xdr:rowOff>
              </from>
              <to>
                <xdr:col>2</xdr:col>
                <xdr:colOff>133350</xdr:colOff>
                <xdr:row>3</xdr:row>
                <xdr:rowOff>0</xdr:rowOff>
              </to>
            </anchor>
          </objectPr>
        </oleObject>
      </mc:Choice>
      <mc:Fallback>
        <oleObject progId="MSPhotoEd.3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2:V70"/>
  <sheetViews>
    <sheetView topLeftCell="A7" workbookViewId="0">
      <selection activeCell="K42" sqref="K42"/>
    </sheetView>
  </sheetViews>
  <sheetFormatPr defaultRowHeight="12.75" x14ac:dyDescent="0.2"/>
  <cols>
    <col min="1" max="1" width="9.140625" style="46"/>
    <col min="2" max="2" width="4" style="46" customWidth="1"/>
    <col min="3" max="3" width="9.140625" style="46"/>
    <col min="4" max="4" width="2" style="46" customWidth="1"/>
    <col min="5" max="5" width="12.42578125" style="46" customWidth="1"/>
    <col min="6" max="6" width="10.140625" style="46" customWidth="1"/>
    <col min="7" max="7" width="9.5703125" style="46" customWidth="1"/>
    <col min="8" max="8" width="7.140625" style="46" customWidth="1"/>
    <col min="9" max="9" width="9.28515625" style="46" customWidth="1"/>
    <col min="10" max="10" width="7.5703125" style="46" customWidth="1"/>
    <col min="11" max="11" width="2.7109375" style="46" customWidth="1"/>
    <col min="12" max="12" width="20.140625" style="46" customWidth="1"/>
    <col min="13" max="16384" width="9.140625" style="46"/>
  </cols>
  <sheetData>
    <row r="2" spans="3:13" x14ac:dyDescent="0.2">
      <c r="H2" s="65" t="s">
        <v>314</v>
      </c>
    </row>
    <row r="3" spans="3:13" x14ac:dyDescent="0.2">
      <c r="H3" s="44"/>
      <c r="I3" s="44"/>
      <c r="J3" s="57"/>
      <c r="K3" s="57"/>
      <c r="M3" s="57"/>
    </row>
    <row r="7" spans="3:13" x14ac:dyDescent="0.2">
      <c r="C7" s="58">
        <v>1.04</v>
      </c>
      <c r="D7" s="378" t="s">
        <v>312</v>
      </c>
      <c r="E7" s="378"/>
      <c r="F7" s="378"/>
      <c r="G7" s="378"/>
      <c r="H7" s="378"/>
      <c r="I7" s="378"/>
      <c r="J7" s="378"/>
      <c r="K7" s="115"/>
    </row>
    <row r="8" spans="3:13" x14ac:dyDescent="0.2">
      <c r="C8" s="68"/>
      <c r="D8" s="68"/>
      <c r="E8" s="68"/>
      <c r="F8" s="68"/>
      <c r="G8" s="68"/>
      <c r="H8" s="68"/>
      <c r="I8" s="68"/>
      <c r="J8" s="68"/>
      <c r="K8" s="59"/>
    </row>
    <row r="9" spans="3:13" ht="25.5" x14ac:dyDescent="0.2">
      <c r="C9" s="69" t="s">
        <v>22</v>
      </c>
      <c r="D9" s="70"/>
      <c r="E9" s="70" t="s">
        <v>23</v>
      </c>
      <c r="F9" s="70" t="s">
        <v>24</v>
      </c>
      <c r="G9" s="383" t="s">
        <v>2</v>
      </c>
      <c r="H9" s="383"/>
      <c r="I9" s="383" t="s">
        <v>3</v>
      </c>
      <c r="J9" s="383"/>
      <c r="K9" s="70"/>
      <c r="L9" s="71"/>
    </row>
    <row r="10" spans="3:13" x14ac:dyDescent="0.2">
      <c r="C10" s="154"/>
      <c r="D10" s="154"/>
      <c r="E10" s="154"/>
      <c r="F10" s="154"/>
      <c r="G10" s="154" t="s">
        <v>4</v>
      </c>
      <c r="H10" s="155" t="s">
        <v>5</v>
      </c>
      <c r="I10" s="154" t="s">
        <v>4</v>
      </c>
      <c r="J10" s="154" t="s">
        <v>5</v>
      </c>
      <c r="K10" s="69"/>
      <c r="L10" s="71"/>
    </row>
    <row r="11" spans="3:13" hidden="1" x14ac:dyDescent="0.2">
      <c r="C11" s="137">
        <v>1980</v>
      </c>
      <c r="D11" s="137"/>
      <c r="E11" s="51">
        <f>G11+I11</f>
        <v>17757</v>
      </c>
      <c r="F11" s="52">
        <v>4.3</v>
      </c>
      <c r="G11" s="51">
        <v>13761</v>
      </c>
      <c r="H11" s="156">
        <f>G11/E11*100</f>
        <v>77.496198682209837</v>
      </c>
      <c r="I11" s="51">
        <v>3996</v>
      </c>
      <c r="J11" s="60">
        <f>I11/E11*100</f>
        <v>22.503801317790167</v>
      </c>
      <c r="K11" s="60"/>
      <c r="L11" s="59"/>
    </row>
    <row r="12" spans="3:13" hidden="1" x14ac:dyDescent="0.2">
      <c r="C12" s="137">
        <v>1981</v>
      </c>
      <c r="D12" s="137"/>
      <c r="E12" s="51">
        <f>G12+I12</f>
        <v>18575</v>
      </c>
      <c r="F12" s="52">
        <f t="shared" ref="F12:F24" si="0">(E12/E11-1)*100</f>
        <v>4.606634003491572</v>
      </c>
      <c r="G12" s="51">
        <v>14031</v>
      </c>
      <c r="H12" s="149">
        <f>G12/E12*100</f>
        <v>75.537012113055184</v>
      </c>
      <c r="I12" s="51">
        <v>4544</v>
      </c>
      <c r="J12" s="60">
        <f>I12/E12*100</f>
        <v>24.462987886944816</v>
      </c>
      <c r="K12" s="60"/>
      <c r="L12" s="59"/>
    </row>
    <row r="13" spans="3:13" hidden="1" x14ac:dyDescent="0.2">
      <c r="C13" s="137">
        <v>1982</v>
      </c>
      <c r="D13" s="137"/>
      <c r="E13" s="51">
        <f>G13+I13</f>
        <v>18889</v>
      </c>
      <c r="F13" s="52">
        <f t="shared" si="0"/>
        <v>1.6904441453566621</v>
      </c>
      <c r="G13" s="51">
        <v>14423</v>
      </c>
      <c r="H13" s="149">
        <f>G13/E13*100</f>
        <v>76.356609667001962</v>
      </c>
      <c r="I13" s="51">
        <v>4466</v>
      </c>
      <c r="J13" s="60">
        <f>I13/E13*100</f>
        <v>23.643390332998042</v>
      </c>
      <c r="K13" s="60"/>
      <c r="L13" s="59"/>
    </row>
    <row r="14" spans="3:13" hidden="1" x14ac:dyDescent="0.2">
      <c r="C14" s="137">
        <v>1983</v>
      </c>
      <c r="D14" s="137"/>
      <c r="E14" s="51">
        <f>G14+I14</f>
        <v>19794</v>
      </c>
      <c r="F14" s="52">
        <f t="shared" si="0"/>
        <v>4.7911482873630229</v>
      </c>
      <c r="G14" s="51">
        <v>14885</v>
      </c>
      <c r="H14" s="149">
        <f>G14/E14*100</f>
        <v>75.199555420834599</v>
      </c>
      <c r="I14" s="51">
        <v>4909</v>
      </c>
      <c r="J14" s="60">
        <f>I14/E14*100</f>
        <v>24.800444579165404</v>
      </c>
      <c r="K14" s="60"/>
      <c r="L14" s="59"/>
    </row>
    <row r="15" spans="3:13" hidden="1" x14ac:dyDescent="0.2">
      <c r="C15" s="137">
        <v>1984</v>
      </c>
      <c r="D15" s="137"/>
      <c r="E15" s="51">
        <f>G15+I15</f>
        <v>20540</v>
      </c>
      <c r="F15" s="52">
        <f t="shared" si="0"/>
        <v>3.7688188339900952</v>
      </c>
      <c r="G15" s="51">
        <v>15221</v>
      </c>
      <c r="H15" s="149">
        <f>G15/E15*100</f>
        <v>74.104186952288217</v>
      </c>
      <c r="I15" s="51">
        <v>5319</v>
      </c>
      <c r="J15" s="60">
        <f>I15/E15*100</f>
        <v>25.89581304771178</v>
      </c>
      <c r="K15" s="60"/>
      <c r="L15" s="59"/>
    </row>
    <row r="16" spans="3:13" hidden="1" x14ac:dyDescent="0.2">
      <c r="C16" s="137"/>
      <c r="D16" s="137"/>
      <c r="E16" s="51"/>
      <c r="F16" s="52"/>
      <c r="G16" s="51"/>
      <c r="H16" s="149"/>
      <c r="I16" s="51"/>
      <c r="J16" s="60"/>
      <c r="K16" s="60"/>
      <c r="L16" s="59"/>
    </row>
    <row r="17" spans="2:22" hidden="1" x14ac:dyDescent="0.2">
      <c r="C17" s="137">
        <v>1985</v>
      </c>
      <c r="D17" s="137"/>
      <c r="E17" s="51">
        <f>G17+I17</f>
        <v>21104</v>
      </c>
      <c r="F17" s="52">
        <f>(E17/E15-1)*100</f>
        <v>2.7458617332035029</v>
      </c>
      <c r="G17" s="51">
        <v>15527</v>
      </c>
      <c r="H17" s="157">
        <f>G17/E17*100</f>
        <v>73.573730098559523</v>
      </c>
      <c r="I17" s="51">
        <v>5577</v>
      </c>
      <c r="J17" s="61">
        <f>I17/E17*100</f>
        <v>26.426269901440484</v>
      </c>
      <c r="K17" s="61"/>
      <c r="L17" s="62"/>
    </row>
    <row r="18" spans="2:22" hidden="1" x14ac:dyDescent="0.2">
      <c r="C18" s="137">
        <v>1986</v>
      </c>
      <c r="D18" s="137"/>
      <c r="E18" s="51">
        <f>G18+I18</f>
        <v>21545</v>
      </c>
      <c r="F18" s="52">
        <f t="shared" si="0"/>
        <v>2.0896512509476883</v>
      </c>
      <c r="G18" s="51">
        <v>15876</v>
      </c>
      <c r="H18" s="157">
        <f>G18/E18*100</f>
        <v>73.687630540728705</v>
      </c>
      <c r="I18" s="51">
        <v>5669</v>
      </c>
      <c r="J18" s="61">
        <f>I18/E18*100</f>
        <v>26.312369459271295</v>
      </c>
      <c r="K18" s="61"/>
      <c r="L18" s="62"/>
    </row>
    <row r="19" spans="2:22" hidden="1" x14ac:dyDescent="0.2">
      <c r="C19" s="137">
        <v>1987</v>
      </c>
      <c r="D19" s="137"/>
      <c r="E19" s="51">
        <f>G19+I19</f>
        <v>22986</v>
      </c>
      <c r="F19" s="52">
        <f t="shared" si="0"/>
        <v>6.6883267579484817</v>
      </c>
      <c r="G19" s="51">
        <v>16289</v>
      </c>
      <c r="H19" s="157">
        <f>G19/E19*100</f>
        <v>70.864874271295577</v>
      </c>
      <c r="I19" s="51">
        <v>6697</v>
      </c>
      <c r="J19" s="61">
        <f>I19/E19*100</f>
        <v>29.135125728704431</v>
      </c>
      <c r="K19" s="61"/>
      <c r="L19" s="62"/>
    </row>
    <row r="20" spans="2:22" hidden="1" x14ac:dyDescent="0.2">
      <c r="C20" s="137">
        <v>1988</v>
      </c>
      <c r="D20" s="137"/>
      <c r="E20" s="51">
        <f>G20+I20</f>
        <v>24353</v>
      </c>
      <c r="F20" s="52">
        <f t="shared" si="0"/>
        <v>5.9470982337074707</v>
      </c>
      <c r="G20" s="51">
        <v>16700</v>
      </c>
      <c r="H20" s="157">
        <f>G20/E20*100</f>
        <v>68.574713587648333</v>
      </c>
      <c r="I20" s="51">
        <v>7653</v>
      </c>
      <c r="J20" s="61">
        <f>I20/E20*100</f>
        <v>31.42528641235166</v>
      </c>
      <c r="K20" s="61"/>
      <c r="L20" s="62"/>
    </row>
    <row r="21" spans="2:22" hidden="1" x14ac:dyDescent="0.2">
      <c r="C21" s="137">
        <v>1989</v>
      </c>
      <c r="D21" s="137"/>
      <c r="E21" s="51">
        <f>G21+I21</f>
        <v>25695</v>
      </c>
      <c r="F21" s="52">
        <f t="shared" si="0"/>
        <v>5.510614708660122</v>
      </c>
      <c r="G21" s="51">
        <v>17118</v>
      </c>
      <c r="H21" s="157">
        <f>G21/E21*100</f>
        <v>66.619964973730291</v>
      </c>
      <c r="I21" s="51">
        <v>8577</v>
      </c>
      <c r="J21" s="61">
        <f>I21/E21*100</f>
        <v>33.380035026269702</v>
      </c>
      <c r="K21" s="61"/>
      <c r="L21" s="62"/>
    </row>
    <row r="22" spans="2:22" ht="15" x14ac:dyDescent="0.25">
      <c r="C22" s="137"/>
      <c r="D22" s="137"/>
      <c r="E22" s="51"/>
      <c r="F22" s="52"/>
      <c r="G22" s="51"/>
      <c r="H22" s="157"/>
      <c r="I22" s="51"/>
      <c r="J22" s="61"/>
      <c r="K22" s="61"/>
      <c r="L22" s="62"/>
      <c r="M22" s="42"/>
      <c r="N22" s="42"/>
      <c r="O22" s="42"/>
      <c r="P22" s="42"/>
    </row>
    <row r="23" spans="2:22" ht="15" x14ac:dyDescent="0.25">
      <c r="B23" s="64"/>
      <c r="C23" s="158">
        <v>2005</v>
      </c>
      <c r="D23" s="141" t="s">
        <v>27</v>
      </c>
      <c r="E23" s="113">
        <f>+G23+I23</f>
        <v>52465</v>
      </c>
      <c r="F23" s="63"/>
      <c r="G23" s="113">
        <v>26357</v>
      </c>
      <c r="H23" s="63">
        <f t="shared" ref="H23:H30" si="1">G23/E23*100</f>
        <v>50.237301057848093</v>
      </c>
      <c r="I23" s="113">
        <v>26108</v>
      </c>
      <c r="J23" s="138">
        <f t="shared" ref="J23:J30" si="2">I23/E23*100</f>
        <v>49.762698942151914</v>
      </c>
      <c r="K23" s="63"/>
      <c r="L23" s="62"/>
      <c r="M23" s="42"/>
      <c r="N23" s="42"/>
      <c r="O23" s="42"/>
      <c r="P23" s="42"/>
    </row>
    <row r="24" spans="2:22" ht="15" x14ac:dyDescent="0.25">
      <c r="B24" s="64"/>
      <c r="C24" s="158">
        <v>2006</v>
      </c>
      <c r="D24" s="143"/>
      <c r="E24" s="113">
        <f>+G24+I24</f>
        <v>51992</v>
      </c>
      <c r="F24" s="142">
        <f t="shared" si="0"/>
        <v>-0.90155341656342758</v>
      </c>
      <c r="G24" s="113">
        <v>26340</v>
      </c>
      <c r="H24" s="63">
        <f t="shared" si="1"/>
        <v>50.661640252346515</v>
      </c>
      <c r="I24" s="113">
        <v>25652</v>
      </c>
      <c r="J24" s="138">
        <f t="shared" si="2"/>
        <v>49.338359747653485</v>
      </c>
      <c r="K24" s="63"/>
      <c r="L24" s="6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2:22" ht="15" x14ac:dyDescent="0.25">
      <c r="B25" s="64"/>
      <c r="C25" s="158">
        <v>2007</v>
      </c>
      <c r="D25" s="143"/>
      <c r="E25" s="113">
        <f t="shared" ref="E25:E30" si="3">+G25+I25</f>
        <v>53886</v>
      </c>
      <c r="F25" s="63">
        <f t="shared" ref="F25:F30" si="4">(E25/E24-1)*100</f>
        <v>3.6428681335590074</v>
      </c>
      <c r="G25" s="113">
        <v>26773</v>
      </c>
      <c r="H25" s="63">
        <f t="shared" si="1"/>
        <v>49.68451917009984</v>
      </c>
      <c r="I25" s="113">
        <v>27113</v>
      </c>
      <c r="J25" s="138">
        <f t="shared" si="2"/>
        <v>50.31548082990016</v>
      </c>
      <c r="K25" s="63"/>
      <c r="L25" s="6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2:22" ht="15" x14ac:dyDescent="0.25">
      <c r="C26" s="158">
        <v>2008</v>
      </c>
      <c r="D26" s="59"/>
      <c r="E26" s="113">
        <f t="shared" si="3"/>
        <v>57009</v>
      </c>
      <c r="F26" s="63">
        <f t="shared" si="4"/>
        <v>5.7955684222247061</v>
      </c>
      <c r="G26" s="113">
        <v>28264</v>
      </c>
      <c r="H26" s="63">
        <f t="shared" si="1"/>
        <v>49.578136785419844</v>
      </c>
      <c r="I26" s="113">
        <v>28745</v>
      </c>
      <c r="J26" s="138">
        <f t="shared" si="2"/>
        <v>50.421863214580156</v>
      </c>
      <c r="K26" s="63"/>
      <c r="L26" s="6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2:22" ht="15" x14ac:dyDescent="0.25">
      <c r="C27" s="158">
        <v>2009</v>
      </c>
      <c r="D27" s="144"/>
      <c r="E27" s="113">
        <f t="shared" si="3"/>
        <v>56005</v>
      </c>
      <c r="F27" s="142">
        <f t="shared" si="4"/>
        <v>-1.7611254363346096</v>
      </c>
      <c r="G27" s="113">
        <v>27840</v>
      </c>
      <c r="H27" s="63">
        <f t="shared" si="1"/>
        <v>49.709847335059372</v>
      </c>
      <c r="I27" s="113">
        <v>28165</v>
      </c>
      <c r="J27" s="138">
        <f t="shared" si="2"/>
        <v>50.290152664940635</v>
      </c>
      <c r="K27" s="63"/>
      <c r="L27" s="59"/>
      <c r="M27" s="49"/>
      <c r="N27" s="49"/>
      <c r="O27" s="49"/>
      <c r="P27" s="49"/>
      <c r="Q27" s="49"/>
      <c r="R27" s="49"/>
      <c r="S27" s="42"/>
      <c r="T27" s="42"/>
      <c r="U27" s="42"/>
      <c r="V27" s="42"/>
    </row>
    <row r="28" spans="2:22" ht="15" x14ac:dyDescent="0.25">
      <c r="C28" s="158"/>
      <c r="D28" s="144"/>
      <c r="E28" s="113"/>
      <c r="F28" s="142"/>
      <c r="G28" s="113"/>
      <c r="H28" s="63"/>
      <c r="I28" s="113"/>
      <c r="J28" s="138"/>
      <c r="K28" s="63"/>
      <c r="L28" s="59"/>
      <c r="M28"/>
      <c r="N28"/>
      <c r="O28"/>
      <c r="P28" s="49"/>
      <c r="Q28" s="49"/>
      <c r="R28" s="49"/>
      <c r="S28" s="42"/>
      <c r="T28" s="42"/>
      <c r="U28" s="42"/>
      <c r="V28" s="42"/>
    </row>
    <row r="29" spans="2:22" ht="15" x14ac:dyDescent="0.25">
      <c r="C29" s="159" t="s">
        <v>140</v>
      </c>
      <c r="D29" s="59"/>
      <c r="E29" s="113">
        <f t="shared" si="3"/>
        <v>55036</v>
      </c>
      <c r="F29" s="142">
        <f>(E29/E27-1)*100</f>
        <v>-1.7302026604767429</v>
      </c>
      <c r="G29" s="145">
        <v>27219</v>
      </c>
      <c r="H29" s="63">
        <f t="shared" si="1"/>
        <v>49.456719238316737</v>
      </c>
      <c r="I29" s="145">
        <v>27817</v>
      </c>
      <c r="J29" s="138">
        <f t="shared" si="2"/>
        <v>50.543280761683263</v>
      </c>
      <c r="K29" s="63"/>
      <c r="L29" s="59"/>
      <c r="M29"/>
      <c r="N29"/>
      <c r="O29"/>
      <c r="P29" s="42"/>
      <c r="Q29" s="42"/>
      <c r="R29" s="42"/>
      <c r="S29" s="42"/>
      <c r="T29" s="42"/>
      <c r="U29" s="42"/>
      <c r="V29" s="42"/>
    </row>
    <row r="30" spans="2:22" ht="15" x14ac:dyDescent="0.25">
      <c r="C30" s="158">
        <v>2011</v>
      </c>
      <c r="D30" s="59"/>
      <c r="E30" s="113">
        <f t="shared" si="3"/>
        <v>55517</v>
      </c>
      <c r="F30" s="142">
        <f t="shared" si="4"/>
        <v>0.87397339922958839</v>
      </c>
      <c r="G30" s="145">
        <v>27454</v>
      </c>
      <c r="H30" s="63">
        <f t="shared" si="1"/>
        <v>49.45151935443198</v>
      </c>
      <c r="I30" s="145">
        <v>28063</v>
      </c>
      <c r="J30" s="138">
        <f t="shared" si="2"/>
        <v>50.548480645568027</v>
      </c>
      <c r="K30" s="61"/>
      <c r="L30" s="59"/>
      <c r="M30"/>
      <c r="N30"/>
      <c r="O30"/>
      <c r="P30" s="42"/>
      <c r="Q30" s="42"/>
      <c r="R30" s="42"/>
      <c r="S30" s="42"/>
      <c r="T30" s="42"/>
      <c r="U30" s="42"/>
      <c r="V30" s="42"/>
    </row>
    <row r="31" spans="2:22" ht="15" x14ac:dyDescent="0.25">
      <c r="C31" s="158">
        <v>2012</v>
      </c>
      <c r="D31" s="59"/>
      <c r="E31" s="113">
        <v>56732</v>
      </c>
      <c r="F31" s="142">
        <f>(E31/E30-1)*100</f>
        <v>2.1885188320694526</v>
      </c>
      <c r="G31" s="145">
        <v>27752.809461667439</v>
      </c>
      <c r="H31" s="63">
        <f>G31/E31*100</f>
        <v>48.919145211992245</v>
      </c>
      <c r="I31" s="145">
        <v>28979.190538332532</v>
      </c>
      <c r="J31" s="138">
        <f>I31/E31*100</f>
        <v>51.080854788007699</v>
      </c>
      <c r="K31" s="61"/>
      <c r="L31" s="59"/>
      <c r="M31"/>
      <c r="N31"/>
      <c r="O31"/>
      <c r="P31" s="42"/>
      <c r="Q31" s="42"/>
      <c r="R31" s="42"/>
      <c r="S31" s="42"/>
      <c r="T31" s="42"/>
      <c r="U31" s="42"/>
      <c r="V31" s="42"/>
    </row>
    <row r="32" spans="2:22" ht="15" x14ac:dyDescent="0.25">
      <c r="C32" s="158">
        <v>2013</v>
      </c>
      <c r="D32" s="160"/>
      <c r="E32" s="113">
        <v>55747</v>
      </c>
      <c r="F32" s="142">
        <f>(E32/E31-1)*100</f>
        <v>-1.7362335190016176</v>
      </c>
      <c r="G32" s="145">
        <v>27133</v>
      </c>
      <c r="H32" s="63">
        <f>G32/E32*100</f>
        <v>48.671677399680704</v>
      </c>
      <c r="I32" s="145">
        <v>28614</v>
      </c>
      <c r="J32" s="138">
        <f>I32/E32*100</f>
        <v>51.328322600319296</v>
      </c>
      <c r="K32" s="61"/>
      <c r="L32" s="59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3:22" ht="15" x14ac:dyDescent="0.25">
      <c r="C33" s="158">
        <v>2014</v>
      </c>
      <c r="D33" s="59"/>
      <c r="E33" s="113">
        <v>58237.999999999432</v>
      </c>
      <c r="F33" s="142">
        <f>(E33/E32-1)*100</f>
        <v>4.4684018870960518</v>
      </c>
      <c r="G33" s="145">
        <v>28321.962199237521</v>
      </c>
      <c r="H33" s="63">
        <f>G33/E33*100</f>
        <v>48.631412821933786</v>
      </c>
      <c r="I33" s="145">
        <v>29916.037800761907</v>
      </c>
      <c r="J33" s="138">
        <f>I33/E33*100</f>
        <v>51.368587178066207</v>
      </c>
      <c r="K33" s="61"/>
      <c r="L33" s="59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3:22" ht="15" x14ac:dyDescent="0.25">
      <c r="C34" s="158"/>
      <c r="D34" s="59"/>
      <c r="E34" s="113"/>
      <c r="F34" s="142"/>
      <c r="G34" s="145"/>
      <c r="H34" s="63"/>
      <c r="I34" s="145"/>
      <c r="J34" s="138"/>
      <c r="K34" s="61"/>
      <c r="L34" s="59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3:22" ht="15" x14ac:dyDescent="0.25">
      <c r="C35" s="158">
        <v>2015</v>
      </c>
      <c r="D35" s="59"/>
      <c r="E35" s="113">
        <v>60413.267018310042</v>
      </c>
      <c r="F35" s="142">
        <f>(E35/E33-1)*100</f>
        <v>3.7351334494842403</v>
      </c>
      <c r="G35" s="145">
        <v>30264.291292983416</v>
      </c>
      <c r="H35" s="63">
        <f t="shared" ref="H35:H41" si="5">G35/E35*100</f>
        <v>50.095438943586544</v>
      </c>
      <c r="I35" s="145">
        <v>30148.975725326047</v>
      </c>
      <c r="J35" s="138">
        <f t="shared" ref="J35:J43" si="6">I35/E35*100</f>
        <v>49.904561056412497</v>
      </c>
      <c r="K35" s="61"/>
      <c r="L35" s="59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3:22" ht="15" x14ac:dyDescent="0.25">
      <c r="C36" s="158">
        <v>2016</v>
      </c>
      <c r="D36" s="59"/>
      <c r="E36" s="113">
        <v>61361</v>
      </c>
      <c r="F36" s="142">
        <f>(E36/E35-1)*100</f>
        <v>1.568749760549637</v>
      </c>
      <c r="G36" s="145">
        <v>29422</v>
      </c>
      <c r="H36" s="63">
        <f t="shared" si="5"/>
        <v>47.949022995062016</v>
      </c>
      <c r="I36" s="145">
        <v>31939</v>
      </c>
      <c r="J36" s="138">
        <f t="shared" si="6"/>
        <v>52.050977004937991</v>
      </c>
      <c r="K36" s="61"/>
      <c r="L36" s="59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3:22" ht="15" x14ac:dyDescent="0.25">
      <c r="C37" s="158">
        <v>2017</v>
      </c>
      <c r="D37" s="59"/>
      <c r="E37" s="113">
        <v>63415</v>
      </c>
      <c r="F37" s="142">
        <f>(E37/E36-1)*100</f>
        <v>3.3474030736135418</v>
      </c>
      <c r="G37" s="145">
        <v>32212</v>
      </c>
      <c r="H37" s="63">
        <f t="shared" si="5"/>
        <v>50.795553102578253</v>
      </c>
      <c r="I37" s="145">
        <v>31203</v>
      </c>
      <c r="J37" s="138">
        <f t="shared" si="6"/>
        <v>49.204446897421747</v>
      </c>
      <c r="K37" s="61"/>
      <c r="L37" s="59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3:22" ht="15" x14ac:dyDescent="0.25">
      <c r="C38" s="158">
        <v>2018</v>
      </c>
      <c r="D38" s="59"/>
      <c r="E38" s="113">
        <v>65812.999999997701</v>
      </c>
      <c r="F38" s="142">
        <f>(E38/E37-1)*100</f>
        <v>3.7814397224595231</v>
      </c>
      <c r="G38" s="145">
        <v>31874.735262941475</v>
      </c>
      <c r="H38" s="63">
        <f t="shared" si="5"/>
        <v>48.43227821698234</v>
      </c>
      <c r="I38" s="145">
        <v>33938.264737058293</v>
      </c>
      <c r="J38" s="138">
        <f t="shared" si="6"/>
        <v>51.567721783020801</v>
      </c>
      <c r="K38" s="61"/>
      <c r="L38" s="59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3:22" ht="15" x14ac:dyDescent="0.25">
      <c r="C39" s="158">
        <v>2019</v>
      </c>
      <c r="D39" s="59"/>
      <c r="E39" s="113">
        <v>69913.999999999316</v>
      </c>
      <c r="F39" s="142">
        <f>(E39/E38-1)*100</f>
        <v>6.2312916900942872</v>
      </c>
      <c r="G39" s="145">
        <v>34539.06059562444</v>
      </c>
      <c r="H39" s="63">
        <f t="shared" si="5"/>
        <v>49.402209279435851</v>
      </c>
      <c r="I39" s="145">
        <v>35374.939404374898</v>
      </c>
      <c r="J39" s="138">
        <f t="shared" si="6"/>
        <v>50.597790720564184</v>
      </c>
      <c r="K39" s="61"/>
      <c r="L39" s="59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3:22" ht="15" x14ac:dyDescent="0.25">
      <c r="C40" s="158"/>
      <c r="D40" s="59"/>
      <c r="E40" s="113"/>
      <c r="F40" s="142"/>
      <c r="G40" s="145"/>
      <c r="H40" s="63"/>
      <c r="I40" s="145"/>
      <c r="J40" s="138"/>
      <c r="K40" s="61"/>
      <c r="L40" s="59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3:22" ht="15" x14ac:dyDescent="0.25">
      <c r="C41" s="158">
        <v>2020</v>
      </c>
      <c r="D41" s="59"/>
      <c r="E41" s="113">
        <v>65786.000000001484</v>
      </c>
      <c r="F41" s="142">
        <f>(E41/E39-1)*100</f>
        <v>-5.9043968303885812</v>
      </c>
      <c r="G41" s="145">
        <v>32842.190219319964</v>
      </c>
      <c r="H41" s="63">
        <f t="shared" si="5"/>
        <v>49.922765055360138</v>
      </c>
      <c r="I41" s="145">
        <v>32943.809780680116</v>
      </c>
      <c r="J41" s="138">
        <f t="shared" si="6"/>
        <v>50.077234944637731</v>
      </c>
      <c r="K41" s="61"/>
      <c r="L41" s="59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3:22" ht="15" x14ac:dyDescent="0.25">
      <c r="C42" s="159" t="s">
        <v>141</v>
      </c>
      <c r="D42" s="59"/>
      <c r="E42" s="113">
        <v>71104.754466642757</v>
      </c>
      <c r="F42" s="142">
        <f>(E42/E41-1)*100</f>
        <v>8.084933673792527</v>
      </c>
      <c r="G42" s="145">
        <v>35983.662691785474</v>
      </c>
      <c r="H42" s="63">
        <f>G42/E42*100</f>
        <v>50.606549395605363</v>
      </c>
      <c r="I42" s="145">
        <v>33058</v>
      </c>
      <c r="J42" s="138">
        <f t="shared" si="6"/>
        <v>46.491968431602473</v>
      </c>
      <c r="K42" s="61"/>
      <c r="L42" s="59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3:22" ht="15" x14ac:dyDescent="0.25">
      <c r="C43" s="159">
        <v>2022</v>
      </c>
      <c r="D43" s="59"/>
      <c r="E43" s="113">
        <v>81546.088299999959</v>
      </c>
      <c r="F43" s="142">
        <f>(E43/E42-1)*100</f>
        <v>14.68443834969646</v>
      </c>
      <c r="G43" s="145">
        <v>41342</v>
      </c>
      <c r="H43" s="63">
        <f>G43/E43*100</f>
        <v>50.697710781548331</v>
      </c>
      <c r="I43" s="145">
        <v>40204</v>
      </c>
      <c r="J43" s="138">
        <f t="shared" si="6"/>
        <v>49.302180936127158</v>
      </c>
      <c r="K43" s="61"/>
      <c r="L43" s="59"/>
      <c r="M43" s="42"/>
      <c r="N43" s="42"/>
      <c r="O43" s="42"/>
      <c r="P43" s="42"/>
      <c r="Q43" s="42"/>
      <c r="R43" s="42"/>
      <c r="S43" s="42"/>
      <c r="T43" s="42"/>
      <c r="U43" s="42"/>
      <c r="V43" s="42"/>
    </row>
    <row r="44" spans="3:22" ht="15" x14ac:dyDescent="0.25">
      <c r="C44" s="159">
        <v>2023</v>
      </c>
      <c r="D44" s="59"/>
      <c r="E44" s="113">
        <v>84738.261147724901</v>
      </c>
      <c r="F44" s="142">
        <f>(E44/E43-1)*100</f>
        <v>3.9145628126038945</v>
      </c>
      <c r="G44" s="145">
        <v>42773.847766224389</v>
      </c>
      <c r="H44" s="63">
        <f>G44/E44*100</f>
        <v>50.477608564160157</v>
      </c>
      <c r="I44" s="145">
        <v>41964.413381496262</v>
      </c>
      <c r="J44" s="138">
        <f>I44/E44*100</f>
        <v>49.52239143583482</v>
      </c>
      <c r="K44" s="61"/>
      <c r="L44" s="59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3:22" ht="15" x14ac:dyDescent="0.25">
      <c r="C45" s="159">
        <v>2024</v>
      </c>
      <c r="D45" s="59"/>
      <c r="E45" s="113">
        <v>88833.367838348655</v>
      </c>
      <c r="F45" s="142">
        <f>(E45/E44-1)*100</f>
        <v>4.8326536739817127</v>
      </c>
      <c r="G45" s="145">
        <v>44062.679638165231</v>
      </c>
      <c r="H45" s="63">
        <f>G45/E45*100</f>
        <v>49.601496273727591</v>
      </c>
      <c r="I45" s="145">
        <v>44770.688200182398</v>
      </c>
      <c r="J45" s="138">
        <f>I45/E45*100</f>
        <v>50.398503726271258</v>
      </c>
      <c r="K45" s="61"/>
      <c r="L45" s="59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3:22" ht="15" x14ac:dyDescent="0.25">
      <c r="C46" s="161"/>
      <c r="D46" s="68"/>
      <c r="E46" s="162"/>
      <c r="F46" s="163"/>
      <c r="G46" s="164"/>
      <c r="H46" s="165"/>
      <c r="I46" s="164"/>
      <c r="J46" s="166"/>
      <c r="K46" s="61"/>
      <c r="L46" s="59"/>
      <c r="M46" s="42"/>
      <c r="N46" s="42"/>
      <c r="O46" s="42"/>
      <c r="P46" s="42"/>
      <c r="Q46" s="42"/>
      <c r="R46" s="42"/>
      <c r="S46" s="42"/>
      <c r="T46" s="42"/>
      <c r="U46" s="42"/>
      <c r="V46" s="42"/>
    </row>
    <row r="47" spans="3:22" ht="15" x14ac:dyDescent="0.25">
      <c r="C47" s="55" t="s">
        <v>38</v>
      </c>
      <c r="D47" s="67"/>
      <c r="E47" s="67"/>
      <c r="F47" s="67"/>
      <c r="G47" s="67"/>
      <c r="H47" s="67"/>
      <c r="I47" s="67"/>
      <c r="J47" s="67"/>
      <c r="K47" s="67"/>
      <c r="L47" s="59"/>
      <c r="O47" s="42"/>
      <c r="P47" s="42"/>
      <c r="Q47" s="42"/>
      <c r="R47" s="42"/>
      <c r="S47" s="42"/>
      <c r="T47" s="42"/>
      <c r="U47" s="42"/>
      <c r="V47" s="42"/>
    </row>
    <row r="48" spans="3:22" x14ac:dyDescent="0.2">
      <c r="C48" s="55"/>
      <c r="D48" s="67"/>
      <c r="E48" s="67"/>
      <c r="F48" s="67"/>
      <c r="G48" s="67"/>
      <c r="H48" s="67"/>
      <c r="I48" s="67"/>
      <c r="J48" s="67"/>
      <c r="K48" s="67"/>
      <c r="L48" s="59"/>
    </row>
    <row r="49" spans="2:12" x14ac:dyDescent="0.2">
      <c r="C49" s="66" t="s">
        <v>41</v>
      </c>
      <c r="D49" s="67"/>
      <c r="E49" s="67"/>
      <c r="F49" s="67"/>
      <c r="G49" s="67"/>
      <c r="H49" s="67"/>
      <c r="I49" s="67"/>
      <c r="J49" s="67"/>
      <c r="K49" s="67"/>
      <c r="L49" s="59"/>
    </row>
    <row r="50" spans="2:12" ht="14.25" x14ac:dyDescent="0.2">
      <c r="B50" s="153" t="s">
        <v>138</v>
      </c>
      <c r="C50" s="46" t="s">
        <v>142</v>
      </c>
      <c r="G50" s="67"/>
      <c r="H50" s="67"/>
      <c r="I50" s="67"/>
      <c r="J50" s="67"/>
      <c r="K50" s="67"/>
      <c r="L50" s="59"/>
    </row>
    <row r="51" spans="2:12" x14ac:dyDescent="0.2">
      <c r="C51" s="55"/>
      <c r="D51" s="67"/>
      <c r="E51" s="67"/>
      <c r="F51" s="67"/>
      <c r="G51" s="67"/>
      <c r="H51" s="67"/>
      <c r="I51" s="67"/>
      <c r="J51" s="67"/>
      <c r="K51" s="67"/>
      <c r="L51" s="59"/>
    </row>
    <row r="52" spans="2:12" x14ac:dyDescent="0.2">
      <c r="C52" s="55"/>
      <c r="D52" s="67"/>
      <c r="E52" s="67"/>
      <c r="F52" s="67"/>
      <c r="G52" s="67"/>
      <c r="H52" s="67"/>
      <c r="I52" s="67"/>
      <c r="J52" s="67"/>
      <c r="K52" s="67"/>
      <c r="L52" s="59"/>
    </row>
    <row r="53" spans="2:12" x14ac:dyDescent="0.2">
      <c r="C53" s="55"/>
      <c r="D53" s="67"/>
      <c r="E53" s="67"/>
      <c r="F53" s="67"/>
      <c r="G53" s="67"/>
      <c r="H53" s="67"/>
      <c r="I53" s="67"/>
      <c r="J53" s="67"/>
      <c r="K53" s="67"/>
      <c r="L53" s="59"/>
    </row>
    <row r="54" spans="2:12" x14ac:dyDescent="0.2">
      <c r="C54" s="55"/>
      <c r="D54" s="67"/>
      <c r="E54" s="67"/>
      <c r="F54" s="67"/>
      <c r="G54" s="67"/>
      <c r="H54" s="67"/>
      <c r="I54" s="67"/>
      <c r="J54" s="67"/>
      <c r="K54" s="67"/>
      <c r="L54" s="59"/>
    </row>
    <row r="55" spans="2:12" x14ac:dyDescent="0.2">
      <c r="C55" s="55"/>
      <c r="D55" s="67"/>
      <c r="E55" s="67"/>
      <c r="F55" s="67"/>
      <c r="G55" s="67"/>
      <c r="H55" s="67"/>
      <c r="I55" s="67"/>
      <c r="J55" s="67"/>
      <c r="K55" s="67"/>
      <c r="L55" s="59"/>
    </row>
    <row r="56" spans="2:12" x14ac:dyDescent="0.2">
      <c r="C56" s="55"/>
      <c r="D56" s="67"/>
      <c r="E56" s="67"/>
      <c r="F56" s="67"/>
      <c r="G56" s="67"/>
      <c r="H56" s="67"/>
      <c r="I56" s="67"/>
      <c r="J56" s="67"/>
      <c r="K56" s="67"/>
      <c r="L56" s="59"/>
    </row>
    <row r="57" spans="2:12" x14ac:dyDescent="0.2">
      <c r="C57" s="55"/>
      <c r="D57" s="67"/>
      <c r="E57" s="67"/>
      <c r="F57" s="67"/>
      <c r="G57" s="67"/>
      <c r="H57" s="67"/>
      <c r="I57" s="67"/>
      <c r="J57" s="67"/>
      <c r="K57" s="67"/>
      <c r="L57" s="59"/>
    </row>
    <row r="58" spans="2:12" x14ac:dyDescent="0.2">
      <c r="C58" s="55"/>
      <c r="D58" s="67"/>
      <c r="E58" s="67"/>
      <c r="F58" s="67"/>
      <c r="G58" s="67"/>
      <c r="H58" s="67"/>
      <c r="I58" s="67"/>
      <c r="J58" s="67"/>
      <c r="K58" s="67"/>
      <c r="L58" s="59"/>
    </row>
    <row r="59" spans="2:12" x14ac:dyDescent="0.2">
      <c r="C59" s="55"/>
      <c r="D59" s="67"/>
      <c r="E59" s="67"/>
      <c r="F59" s="67"/>
      <c r="G59" s="67"/>
      <c r="H59" s="67"/>
      <c r="I59" s="67"/>
      <c r="J59" s="67"/>
      <c r="K59" s="67"/>
      <c r="L59" s="59"/>
    </row>
    <row r="60" spans="2:12" x14ac:dyDescent="0.2">
      <c r="C60" s="55"/>
      <c r="D60" s="67"/>
      <c r="E60" s="67"/>
      <c r="F60" s="67"/>
      <c r="G60" s="67"/>
      <c r="H60" s="67"/>
      <c r="I60" s="67"/>
      <c r="J60" s="67"/>
      <c r="K60" s="67"/>
      <c r="L60" s="59"/>
    </row>
    <row r="61" spans="2:12" x14ac:dyDescent="0.2">
      <c r="C61" s="55"/>
      <c r="D61" s="67"/>
      <c r="E61" s="67"/>
      <c r="F61" s="67"/>
      <c r="G61" s="67"/>
      <c r="H61" s="67"/>
      <c r="I61" s="67"/>
      <c r="J61" s="67"/>
      <c r="K61" s="67"/>
      <c r="L61" s="59"/>
    </row>
    <row r="62" spans="2:12" x14ac:dyDescent="0.2">
      <c r="C62" s="55"/>
      <c r="D62" s="67"/>
      <c r="E62" s="67"/>
      <c r="F62" s="67"/>
      <c r="G62" s="67"/>
      <c r="H62" s="67"/>
      <c r="I62" s="67"/>
      <c r="J62" s="67"/>
      <c r="K62" s="67"/>
      <c r="L62" s="59"/>
    </row>
    <row r="63" spans="2:12" x14ac:dyDescent="0.2">
      <c r="C63" s="55"/>
      <c r="D63" s="67"/>
      <c r="E63" s="67"/>
      <c r="F63" s="67"/>
      <c r="G63" s="67"/>
      <c r="H63" s="67"/>
      <c r="I63" s="67"/>
      <c r="J63" s="67"/>
      <c r="K63" s="67"/>
      <c r="L63" s="59"/>
    </row>
    <row r="64" spans="2:12" x14ac:dyDescent="0.2">
      <c r="C64" s="55"/>
      <c r="D64" s="67"/>
      <c r="E64" s="67"/>
      <c r="F64" s="67"/>
      <c r="G64" s="67"/>
      <c r="H64" s="67"/>
      <c r="I64" s="67"/>
      <c r="J64" s="67"/>
      <c r="K64" s="67"/>
      <c r="L64" s="59"/>
    </row>
    <row r="65" spans="2:13" x14ac:dyDescent="0.2">
      <c r="C65" s="55"/>
      <c r="D65" s="67"/>
      <c r="E65" s="67"/>
      <c r="F65" s="67"/>
      <c r="G65" s="67"/>
      <c r="H65" s="67"/>
      <c r="I65" s="67"/>
      <c r="J65" s="67"/>
      <c r="K65" s="67"/>
      <c r="L65" s="59"/>
    </row>
    <row r="69" spans="2:13" s="42" customFormat="1" ht="12.75" customHeight="1" x14ac:dyDescent="0.25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</row>
    <row r="70" spans="2:13" x14ac:dyDescent="0.2">
      <c r="B70" s="275"/>
      <c r="C70" s="275"/>
      <c r="D70" s="275"/>
      <c r="E70" s="275"/>
      <c r="F70" s="275"/>
      <c r="G70" s="275"/>
      <c r="H70" s="275"/>
      <c r="I70" s="275"/>
      <c r="J70" s="275"/>
      <c r="K70" s="116"/>
    </row>
  </sheetData>
  <mergeCells count="3">
    <mergeCell ref="D7:J7"/>
    <mergeCell ref="G9:H9"/>
    <mergeCell ref="I9:J9"/>
  </mergeCells>
  <pageMargins left="0.7" right="0.7" top="0.75" bottom="0.75" header="0.3" footer="0.3"/>
  <pageSetup scale="76" orientation="portrait" r:id="rId1"/>
  <ignoredErrors>
    <ignoredError sqref="C29:C42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39937" r:id="rId4">
          <objectPr defaultSize="0" autoPict="0" r:id="rId5">
            <anchor moveWithCells="1" sizeWithCells="1">
              <from>
                <xdr:col>0</xdr:col>
                <xdr:colOff>85725</xdr:colOff>
                <xdr:row>0</xdr:row>
                <xdr:rowOff>66675</xdr:rowOff>
              </from>
              <to>
                <xdr:col>2</xdr:col>
                <xdr:colOff>28575</xdr:colOff>
                <xdr:row>3</xdr:row>
                <xdr:rowOff>0</xdr:rowOff>
              </to>
            </anchor>
          </objectPr>
        </oleObject>
      </mc:Choice>
      <mc:Fallback>
        <oleObject progId="MSPhotoEd.3" shapeId="3993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82A4-E5C9-477F-95E0-BCDEB87FF78D}">
  <sheetPr>
    <tabColor rgb="FFFFC000"/>
  </sheetPr>
  <dimension ref="B2:N364"/>
  <sheetViews>
    <sheetView workbookViewId="0">
      <selection activeCell="L85" sqref="L85"/>
    </sheetView>
  </sheetViews>
  <sheetFormatPr defaultColWidth="10.85546875" defaultRowHeight="12" customHeight="1" x14ac:dyDescent="0.2"/>
  <cols>
    <col min="1" max="1" width="10.85546875" style="277"/>
    <col min="2" max="2" width="5.42578125" style="277" customWidth="1"/>
    <col min="3" max="3" width="6.28515625" style="277" customWidth="1"/>
    <col min="4" max="4" width="5.7109375" style="277" customWidth="1"/>
    <col min="5" max="5" width="9.5703125" style="277" customWidth="1"/>
    <col min="6" max="6" width="9.42578125" style="277" customWidth="1"/>
    <col min="7" max="7" width="8.7109375" style="277" customWidth="1"/>
    <col min="8" max="8" width="10.85546875" style="277"/>
    <col min="9" max="9" width="7.85546875" style="277" customWidth="1"/>
    <col min="10" max="10" width="9.140625" style="277" customWidth="1"/>
    <col min="11" max="11" width="9.28515625" style="277" customWidth="1"/>
    <col min="12" max="12" width="10.7109375" style="277" customWidth="1"/>
    <col min="13" max="13" width="7.7109375" style="277" customWidth="1"/>
    <col min="14" max="14" width="5.85546875" style="277" customWidth="1"/>
    <col min="15" max="20" width="10.85546875" style="277"/>
    <col min="21" max="21" width="32.7109375" style="277" customWidth="1"/>
    <col min="22" max="22" width="10.85546875" style="277"/>
    <col min="23" max="26" width="20.7109375" style="277" customWidth="1"/>
    <col min="27" max="27" width="48.7109375" style="277" customWidth="1"/>
    <col min="28" max="16384" width="10.85546875" style="277"/>
  </cols>
  <sheetData>
    <row r="2" spans="2:14" ht="12" customHeight="1" x14ac:dyDescent="0.2">
      <c r="J2" s="65" t="s">
        <v>314</v>
      </c>
    </row>
    <row r="3" spans="2:14" ht="12" customHeight="1" x14ac:dyDescent="0.2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14" ht="12" customHeight="1" x14ac:dyDescent="0.2">
      <c r="B4" s="58">
        <v>1.05</v>
      </c>
      <c r="C4" s="384" t="s">
        <v>306</v>
      </c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44"/>
    </row>
    <row r="5" spans="2:14" ht="12" customHeight="1" x14ac:dyDescent="0.2"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44"/>
    </row>
    <row r="6" spans="2:14" ht="12" customHeight="1" x14ac:dyDescent="0.2">
      <c r="C6" s="279" t="s">
        <v>158</v>
      </c>
      <c r="D6" s="280" t="s">
        <v>159</v>
      </c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2:14" ht="12" customHeight="1" x14ac:dyDescent="0.2">
      <c r="C7" s="281" t="s">
        <v>121</v>
      </c>
      <c r="D7" s="282" t="s">
        <v>160</v>
      </c>
      <c r="E7" s="282" t="s">
        <v>161</v>
      </c>
      <c r="F7" s="282" t="s">
        <v>162</v>
      </c>
      <c r="G7" s="282" t="s">
        <v>163</v>
      </c>
      <c r="H7" s="282" t="s">
        <v>164</v>
      </c>
      <c r="I7" s="282" t="s">
        <v>165</v>
      </c>
      <c r="J7" s="282" t="s">
        <v>166</v>
      </c>
      <c r="K7" s="282" t="s">
        <v>167</v>
      </c>
      <c r="L7" s="282" t="s">
        <v>168</v>
      </c>
      <c r="M7" s="282" t="s">
        <v>169</v>
      </c>
      <c r="N7" s="44"/>
    </row>
    <row r="8" spans="2:14" ht="12" customHeight="1" x14ac:dyDescent="0.2"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44"/>
    </row>
    <row r="9" spans="2:14" ht="12" customHeight="1" x14ac:dyDescent="0.2">
      <c r="C9" s="317">
        <v>0</v>
      </c>
      <c r="D9" s="284">
        <v>1</v>
      </c>
      <c r="E9" s="285">
        <v>4.2301904892801511E-3</v>
      </c>
      <c r="F9" s="286">
        <v>6.2640449438202253E-2</v>
      </c>
      <c r="G9" s="285">
        <v>4.2134831460674156E-3</v>
      </c>
      <c r="H9" s="287">
        <v>100000</v>
      </c>
      <c r="I9" s="287">
        <v>421.34831460674155</v>
      </c>
      <c r="J9" s="287">
        <v>99605.045133190244</v>
      </c>
      <c r="K9" s="285">
        <v>0.99583930374952645</v>
      </c>
      <c r="L9" s="287">
        <v>8310938.6866376754</v>
      </c>
      <c r="M9" s="288">
        <v>83.109386866376752</v>
      </c>
      <c r="N9" s="44"/>
    </row>
    <row r="10" spans="2:14" ht="12" customHeight="1" x14ac:dyDescent="0.2">
      <c r="C10" s="317">
        <v>1</v>
      </c>
      <c r="D10" s="284">
        <v>4</v>
      </c>
      <c r="E10" s="285">
        <v>0</v>
      </c>
      <c r="F10" s="286">
        <v>1.7261446629213484</v>
      </c>
      <c r="G10" s="285">
        <v>0</v>
      </c>
      <c r="H10" s="287">
        <v>99578.651685393255</v>
      </c>
      <c r="I10" s="287">
        <v>0</v>
      </c>
      <c r="J10" s="287">
        <v>398314.60674157302</v>
      </c>
      <c r="K10" s="285">
        <v>0.99994699255653474</v>
      </c>
      <c r="L10" s="287">
        <v>8211333.6415044852</v>
      </c>
      <c r="M10" s="289">
        <v>82.460783536688197</v>
      </c>
      <c r="N10" s="44"/>
    </row>
    <row r="11" spans="2:14" ht="12" customHeight="1" x14ac:dyDescent="0.2">
      <c r="C11" s="317">
        <v>5</v>
      </c>
      <c r="D11" s="284">
        <v>5</v>
      </c>
      <c r="E11" s="285">
        <v>0</v>
      </c>
      <c r="F11" s="286">
        <v>2.5</v>
      </c>
      <c r="G11" s="285">
        <v>0</v>
      </c>
      <c r="H11" s="287">
        <v>99578.651685393255</v>
      </c>
      <c r="I11" s="287">
        <v>0</v>
      </c>
      <c r="J11" s="287">
        <v>497893.25842696626</v>
      </c>
      <c r="K11" s="285">
        <v>1</v>
      </c>
      <c r="L11" s="287">
        <v>7813019.0347629124</v>
      </c>
      <c r="M11" s="289">
        <v>78.460783536688211</v>
      </c>
      <c r="N11" s="44"/>
    </row>
    <row r="12" spans="2:14" ht="12" customHeight="1" x14ac:dyDescent="0.2">
      <c r="C12" s="317">
        <v>10</v>
      </c>
      <c r="D12" s="284">
        <v>5</v>
      </c>
      <c r="E12" s="285">
        <v>0</v>
      </c>
      <c r="F12" s="286">
        <v>2.5</v>
      </c>
      <c r="G12" s="285">
        <v>0</v>
      </c>
      <c r="H12" s="287">
        <v>99578.651685393255</v>
      </c>
      <c r="I12" s="287">
        <v>0</v>
      </c>
      <c r="J12" s="287">
        <v>497893.25842696626</v>
      </c>
      <c r="K12" s="285">
        <v>1</v>
      </c>
      <c r="L12" s="287">
        <v>7315125.7763359463</v>
      </c>
      <c r="M12" s="289">
        <v>73.460783536688211</v>
      </c>
      <c r="N12" s="44"/>
    </row>
    <row r="13" spans="2:14" ht="12" customHeight="1" x14ac:dyDescent="0.2">
      <c r="C13" s="317">
        <v>15</v>
      </c>
      <c r="D13" s="284">
        <v>5</v>
      </c>
      <c r="E13" s="285">
        <v>0</v>
      </c>
      <c r="F13" s="286">
        <v>2.5</v>
      </c>
      <c r="G13" s="285">
        <v>0</v>
      </c>
      <c r="H13" s="287">
        <v>99578.651685393255</v>
      </c>
      <c r="I13" s="287">
        <v>0</v>
      </c>
      <c r="J13" s="287">
        <v>497893.25842696626</v>
      </c>
      <c r="K13" s="285">
        <v>0.99609384948704605</v>
      </c>
      <c r="L13" s="287">
        <v>6817232.5179089801</v>
      </c>
      <c r="M13" s="289">
        <v>68.460783536688211</v>
      </c>
      <c r="N13" s="44"/>
    </row>
    <row r="14" spans="2:14" ht="12" customHeight="1" x14ac:dyDescent="0.2">
      <c r="C14" s="317">
        <v>20</v>
      </c>
      <c r="D14" s="284">
        <v>5</v>
      </c>
      <c r="E14" s="285">
        <v>1.5685873434378526E-3</v>
      </c>
      <c r="F14" s="286">
        <v>2.5</v>
      </c>
      <c r="G14" s="285">
        <v>7.8123010259083464E-3</v>
      </c>
      <c r="H14" s="287">
        <v>99578.651685393255</v>
      </c>
      <c r="I14" s="287">
        <v>777.93840272036766</v>
      </c>
      <c r="J14" s="287">
        <v>495948.41242016543</v>
      </c>
      <c r="K14" s="285">
        <v>0.99448454589685453</v>
      </c>
      <c r="L14" s="287">
        <v>6319339.2594820103</v>
      </c>
      <c r="M14" s="289">
        <v>63.460783536688211</v>
      </c>
      <c r="N14" s="44"/>
    </row>
    <row r="15" spans="2:14" ht="12" customHeight="1" x14ac:dyDescent="0.2">
      <c r="C15" s="317">
        <v>25</v>
      </c>
      <c r="D15" s="284">
        <v>5</v>
      </c>
      <c r="E15" s="285">
        <v>6.4113042324385268E-4</v>
      </c>
      <c r="F15" s="286">
        <v>2.5</v>
      </c>
      <c r="G15" s="285">
        <v>3.2005222357801956E-3</v>
      </c>
      <c r="H15" s="287">
        <v>98800.713282672892</v>
      </c>
      <c r="I15" s="287">
        <v>316.21387977213834</v>
      </c>
      <c r="J15" s="287">
        <v>493213.03171393415</v>
      </c>
      <c r="K15" s="285">
        <v>0.99784328794475341</v>
      </c>
      <c r="L15" s="287">
        <v>5823390.8470618483</v>
      </c>
      <c r="M15" s="289">
        <v>58.940777384884747</v>
      </c>
      <c r="N15" s="44"/>
    </row>
    <row r="16" spans="2:14" ht="12" customHeight="1" x14ac:dyDescent="0.2">
      <c r="C16" s="317">
        <v>30</v>
      </c>
      <c r="D16" s="284">
        <v>5</v>
      </c>
      <c r="E16" s="285">
        <v>2.2203326066480401E-4</v>
      </c>
      <c r="F16" s="286">
        <v>2.5</v>
      </c>
      <c r="G16" s="285">
        <v>1.1095504105851845E-3</v>
      </c>
      <c r="H16" s="287">
        <v>98484.499402900765</v>
      </c>
      <c r="I16" s="287">
        <v>109.27351674876491</v>
      </c>
      <c r="J16" s="287">
        <v>492149.31322263199</v>
      </c>
      <c r="K16" s="285">
        <v>0.99737832680198313</v>
      </c>
      <c r="L16" s="287">
        <v>5330177.8153479137</v>
      </c>
      <c r="M16" s="289">
        <v>54.121997346426255</v>
      </c>
      <c r="N16" s="44"/>
    </row>
    <row r="17" spans="3:14" ht="12" customHeight="1" x14ac:dyDescent="0.2">
      <c r="C17" s="317">
        <v>35</v>
      </c>
      <c r="D17" s="284">
        <v>5</v>
      </c>
      <c r="E17" s="285">
        <v>8.2880888458089681E-4</v>
      </c>
      <c r="F17" s="286">
        <v>2.5</v>
      </c>
      <c r="G17" s="285">
        <v>4.1354756255534177E-3</v>
      </c>
      <c r="H17" s="287">
        <v>98375.225886152009</v>
      </c>
      <c r="I17" s="287">
        <v>406.82834881049325</v>
      </c>
      <c r="J17" s="287">
        <v>490859.05855873378</v>
      </c>
      <c r="K17" s="285">
        <v>0.99511471796319084</v>
      </c>
      <c r="L17" s="287">
        <v>4838028.5021252818</v>
      </c>
      <c r="M17" s="289">
        <v>49.179338177319671</v>
      </c>
      <c r="N17" s="44"/>
    </row>
    <row r="18" spans="3:14" ht="12" customHeight="1" x14ac:dyDescent="0.2">
      <c r="C18" s="317">
        <v>40</v>
      </c>
      <c r="D18" s="284">
        <v>5</v>
      </c>
      <c r="E18" s="285">
        <v>1.1308283455460123E-3</v>
      </c>
      <c r="F18" s="286">
        <v>2.5</v>
      </c>
      <c r="G18" s="285">
        <v>5.6382021307616031E-3</v>
      </c>
      <c r="H18" s="287">
        <v>97968.397537341516</v>
      </c>
      <c r="I18" s="287">
        <v>552.36562774233869</v>
      </c>
      <c r="J18" s="287">
        <v>488461.07361735177</v>
      </c>
      <c r="K18" s="285">
        <v>0.99493348175622942</v>
      </c>
      <c r="L18" s="287">
        <v>4347169.4435665477</v>
      </c>
      <c r="M18" s="289">
        <v>44.373181075148096</v>
      </c>
      <c r="N18" s="44"/>
    </row>
    <row r="19" spans="3:14" ht="12" customHeight="1" x14ac:dyDescent="0.2">
      <c r="C19" s="317">
        <v>45</v>
      </c>
      <c r="D19" s="284">
        <v>5</v>
      </c>
      <c r="E19" s="285">
        <v>9.003405437526292E-4</v>
      </c>
      <c r="F19" s="286">
        <v>2.5</v>
      </c>
      <c r="G19" s="285">
        <v>4.4915928109787659E-3</v>
      </c>
      <c r="H19" s="287">
        <v>97416.031909599173</v>
      </c>
      <c r="I19" s="287">
        <v>437.55314859923368</v>
      </c>
      <c r="J19" s="287">
        <v>485986.27667649771</v>
      </c>
      <c r="K19" s="285">
        <v>0.9898634228185651</v>
      </c>
      <c r="L19" s="287">
        <v>3858708.369949196</v>
      </c>
      <c r="M19" s="289">
        <v>39.61060920167666</v>
      </c>
      <c r="N19" s="44"/>
    </row>
    <row r="20" spans="3:14" ht="12" customHeight="1" x14ac:dyDescent="0.2">
      <c r="C20" s="317">
        <v>50</v>
      </c>
      <c r="D20" s="284">
        <v>5</v>
      </c>
      <c r="E20" s="285">
        <v>3.1865914590920932E-3</v>
      </c>
      <c r="F20" s="286">
        <v>2.5</v>
      </c>
      <c r="G20" s="285">
        <v>1.5807030921143168E-2</v>
      </c>
      <c r="H20" s="287">
        <v>96978.478760999933</v>
      </c>
      <c r="I20" s="287">
        <v>1532.941812460552</v>
      </c>
      <c r="J20" s="287">
        <v>481060.03927384823</v>
      </c>
      <c r="K20" s="285">
        <v>0.98551036887284571</v>
      </c>
      <c r="L20" s="287">
        <v>3372722.0932726981</v>
      </c>
      <c r="M20" s="289">
        <v>34.778047009632452</v>
      </c>
      <c r="N20" s="44"/>
    </row>
    <row r="21" spans="3:14" ht="12" customHeight="1" x14ac:dyDescent="0.2">
      <c r="C21" s="317">
        <v>55</v>
      </c>
      <c r="D21" s="284">
        <v>5</v>
      </c>
      <c r="E21" s="285">
        <v>2.6476240881705658E-3</v>
      </c>
      <c r="F21" s="286">
        <v>2.5</v>
      </c>
      <c r="G21" s="285">
        <v>1.3151072698696949E-2</v>
      </c>
      <c r="H21" s="287">
        <v>95445.536948539375</v>
      </c>
      <c r="I21" s="287">
        <v>1255.211195176407</v>
      </c>
      <c r="J21" s="287">
        <v>474089.65675475582</v>
      </c>
      <c r="K21" s="285">
        <v>0.9801427752806593</v>
      </c>
      <c r="L21" s="287">
        <v>2891662.0539988498</v>
      </c>
      <c r="M21" s="289">
        <v>30.296461693729324</v>
      </c>
      <c r="N21" s="44"/>
    </row>
    <row r="22" spans="3:14" ht="12" customHeight="1" x14ac:dyDescent="0.2">
      <c r="C22" s="317">
        <v>60</v>
      </c>
      <c r="D22" s="284">
        <v>5</v>
      </c>
      <c r="E22" s="285">
        <v>5.4025453567715931E-3</v>
      </c>
      <c r="F22" s="286">
        <v>2.5</v>
      </c>
      <c r="G22" s="285">
        <v>2.6652745122836472E-2</v>
      </c>
      <c r="H22" s="287">
        <v>94190.325753362966</v>
      </c>
      <c r="I22" s="287">
        <v>2510.4307453413235</v>
      </c>
      <c r="J22" s="287">
        <v>464675.55190346151</v>
      </c>
      <c r="K22" s="285">
        <v>0.9600772785814915</v>
      </c>
      <c r="L22" s="287">
        <v>2417572.3972440939</v>
      </c>
      <c r="M22" s="289">
        <v>25.66688646533083</v>
      </c>
      <c r="N22" s="44"/>
    </row>
    <row r="23" spans="3:14" ht="12" customHeight="1" x14ac:dyDescent="0.2">
      <c r="C23" s="317">
        <v>65</v>
      </c>
      <c r="D23" s="284">
        <v>5</v>
      </c>
      <c r="E23" s="285">
        <v>1.1005929883315051E-2</v>
      </c>
      <c r="F23" s="286">
        <v>2.5</v>
      </c>
      <c r="G23" s="285">
        <v>5.3556063711487779E-2</v>
      </c>
      <c r="H23" s="287">
        <v>91679.895008021645</v>
      </c>
      <c r="I23" s="287">
        <v>4910.014298112118</v>
      </c>
      <c r="J23" s="287">
        <v>446124.43929482793</v>
      </c>
      <c r="K23" s="285">
        <v>0.93789874910715632</v>
      </c>
      <c r="L23" s="287">
        <v>1952896.8453406324</v>
      </c>
      <c r="M23" s="289">
        <v>21.301255255252652</v>
      </c>
      <c r="N23" s="44"/>
    </row>
    <row r="24" spans="3:14" ht="12" customHeight="1" x14ac:dyDescent="0.2">
      <c r="C24" s="317">
        <v>70</v>
      </c>
      <c r="D24" s="284">
        <v>5</v>
      </c>
      <c r="E24" s="285">
        <v>1.4750601263720988E-2</v>
      </c>
      <c r="F24" s="286">
        <v>2.5</v>
      </c>
      <c r="G24" s="285">
        <v>7.1129981337106019E-2</v>
      </c>
      <c r="H24" s="287">
        <v>86769.880709909528</v>
      </c>
      <c r="I24" s="287">
        <v>6171.9399955187801</v>
      </c>
      <c r="J24" s="287">
        <v>418419.55356075062</v>
      </c>
      <c r="K24" s="285">
        <v>0.89688334556246652</v>
      </c>
      <c r="L24" s="287">
        <v>1506772.4060458045</v>
      </c>
      <c r="M24" s="289">
        <v>17.365154748607647</v>
      </c>
      <c r="N24" s="44"/>
    </row>
    <row r="25" spans="3:14" ht="12" customHeight="1" x14ac:dyDescent="0.2">
      <c r="C25" s="317">
        <v>75</v>
      </c>
      <c r="D25" s="284">
        <v>5</v>
      </c>
      <c r="E25" s="285">
        <v>2.9542370969856655E-2</v>
      </c>
      <c r="F25" s="286">
        <v>2.5</v>
      </c>
      <c r="G25" s="285">
        <v>0.13755276762640867</v>
      </c>
      <c r="H25" s="287">
        <v>80597.940714390745</v>
      </c>
      <c r="I25" s="287">
        <v>11086.469810253653</v>
      </c>
      <c r="J25" s="287">
        <v>375273.52904631966</v>
      </c>
      <c r="K25" s="285">
        <v>0.82809270962231452</v>
      </c>
      <c r="L25" s="287">
        <v>1088352.8524850539</v>
      </c>
      <c r="M25" s="289">
        <v>13.503482134137563</v>
      </c>
      <c r="N25" s="44"/>
    </row>
    <row r="26" spans="3:14" ht="12" customHeight="1" x14ac:dyDescent="0.2">
      <c r="C26" s="317">
        <v>80</v>
      </c>
      <c r="D26" s="284">
        <v>5</v>
      </c>
      <c r="E26" s="285">
        <v>4.7362505098137678E-2</v>
      </c>
      <c r="F26" s="286">
        <v>2.5</v>
      </c>
      <c r="G26" s="285">
        <v>0.21174105812800645</v>
      </c>
      <c r="H26" s="287">
        <v>69511.470904137095</v>
      </c>
      <c r="I26" s="287">
        <v>14718.432401276121</v>
      </c>
      <c r="J26" s="287">
        <v>310761.2735174952</v>
      </c>
      <c r="K26" s="285">
        <v>0.73663078303174934</v>
      </c>
      <c r="L26" s="287">
        <v>713079.32343873428</v>
      </c>
      <c r="M26" s="289">
        <v>10.258441004969356</v>
      </c>
      <c r="N26" s="44"/>
    </row>
    <row r="27" spans="3:14" ht="12" customHeight="1" x14ac:dyDescent="0.2">
      <c r="C27" s="317">
        <v>85</v>
      </c>
      <c r="D27" s="284">
        <v>5</v>
      </c>
      <c r="E27" s="285">
        <v>7.8716750677338104E-2</v>
      </c>
      <c r="F27" s="286">
        <v>2.5</v>
      </c>
      <c r="G27" s="285">
        <v>0.32886566248605875</v>
      </c>
      <c r="H27" s="287">
        <v>54793.038502860974</v>
      </c>
      <c r="I27" s="287">
        <v>18019.548906867498</v>
      </c>
      <c r="J27" s="287">
        <v>228916.32024713611</v>
      </c>
      <c r="K27" s="285">
        <v>0.5908421549597912</v>
      </c>
      <c r="L27" s="287">
        <v>402318.04992123909</v>
      </c>
      <c r="M27" s="289">
        <v>7.3425030061114853</v>
      </c>
      <c r="N27" s="44"/>
    </row>
    <row r="28" spans="3:14" ht="12" customHeight="1" x14ac:dyDescent="0.2">
      <c r="C28" s="317">
        <v>90</v>
      </c>
      <c r="D28" s="284">
        <v>5</v>
      </c>
      <c r="E28" s="285">
        <v>0.14377171064330427</v>
      </c>
      <c r="F28" s="286">
        <v>2.5</v>
      </c>
      <c r="G28" s="285">
        <v>0.52879437392289652</v>
      </c>
      <c r="H28" s="287">
        <v>36773.489595993473</v>
      </c>
      <c r="I28" s="287">
        <v>19445.614407873516</v>
      </c>
      <c r="J28" s="287">
        <v>135253.41196028359</v>
      </c>
      <c r="K28" s="285">
        <v>0.21999963775169157</v>
      </c>
      <c r="L28" s="287">
        <v>173401.72967410297</v>
      </c>
      <c r="M28" s="289">
        <v>4.7154004577524606</v>
      </c>
      <c r="N28" s="44"/>
    </row>
    <row r="29" spans="3:14" ht="12" customHeight="1" x14ac:dyDescent="0.2">
      <c r="C29" s="317">
        <v>95</v>
      </c>
      <c r="D29" s="284" t="s">
        <v>296</v>
      </c>
      <c r="E29" s="285">
        <v>0.45422383545481626</v>
      </c>
      <c r="F29" s="286">
        <v>2.2015577385953242</v>
      </c>
      <c r="G29" s="285">
        <v>1</v>
      </c>
      <c r="H29" s="287">
        <v>17327.875188119957</v>
      </c>
      <c r="I29" s="287">
        <v>17327.875188119957</v>
      </c>
      <c r="J29" s="287">
        <v>38148.317713819401</v>
      </c>
      <c r="K29" s="285" t="s">
        <v>55</v>
      </c>
      <c r="L29" s="287">
        <v>38148.317713819401</v>
      </c>
      <c r="M29" s="289">
        <v>2.2015577385953242</v>
      </c>
      <c r="N29" s="44"/>
    </row>
    <row r="30" spans="3:14" ht="12" customHeight="1" x14ac:dyDescent="0.2">
      <c r="C30" s="281"/>
      <c r="D30" s="290"/>
      <c r="E30" s="291"/>
      <c r="F30" s="292"/>
      <c r="G30" s="291"/>
      <c r="H30" s="293"/>
      <c r="I30" s="293"/>
      <c r="J30" s="293"/>
      <c r="K30" s="291"/>
      <c r="L30" s="293"/>
      <c r="M30" s="294"/>
      <c r="N30" s="44"/>
    </row>
    <row r="31" spans="3:14" ht="12" customHeight="1" x14ac:dyDescent="0.2">
      <c r="C31" s="295"/>
      <c r="D31" s="296"/>
      <c r="E31" s="297"/>
      <c r="F31" s="298"/>
      <c r="G31" s="297"/>
      <c r="H31" s="299"/>
      <c r="I31" s="299"/>
      <c r="J31" s="299"/>
      <c r="K31" s="297"/>
      <c r="L31" s="299"/>
      <c r="M31" s="300"/>
      <c r="N31" s="44"/>
    </row>
    <row r="32" spans="3:14" ht="12" customHeight="1" x14ac:dyDescent="0.25">
      <c r="C32" s="301" t="s">
        <v>41</v>
      </c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44"/>
    </row>
    <row r="33" spans="3:14" ht="12" hidden="1" customHeight="1" x14ac:dyDescent="0.2">
      <c r="C33" s="279" t="s">
        <v>170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3:14" ht="12" hidden="1" customHeight="1" x14ac:dyDescent="0.2">
      <c r="C34" s="279" t="s">
        <v>171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3:14" ht="12" hidden="1" customHeight="1" x14ac:dyDescent="0.2">
      <c r="C35" s="279" t="s">
        <v>172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3:14" ht="12" hidden="1" customHeight="1" x14ac:dyDescent="0.2">
      <c r="C36" s="279" t="s">
        <v>173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3:14" ht="12" hidden="1" customHeight="1" x14ac:dyDescent="0.2">
      <c r="C37" s="279" t="s">
        <v>174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3:14" ht="12" hidden="1" customHeight="1" x14ac:dyDescent="0.2">
      <c r="C38" s="279" t="s">
        <v>175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3:14" ht="12" hidden="1" customHeight="1" x14ac:dyDescent="0.2">
      <c r="C39" s="279" t="s">
        <v>176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3:14" ht="12" hidden="1" customHeight="1" x14ac:dyDescent="0.2">
      <c r="C40" s="279" t="s">
        <v>177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3:14" ht="12" hidden="1" customHeight="1" x14ac:dyDescent="0.2">
      <c r="C41" s="279" t="s">
        <v>178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3:14" ht="12" hidden="1" customHeight="1" x14ac:dyDescent="0.2">
      <c r="C42" s="279" t="s">
        <v>179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3:14" ht="12" hidden="1" customHeight="1" x14ac:dyDescent="0.2">
      <c r="C43" s="279" t="s">
        <v>180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3:14" ht="12" hidden="1" customHeight="1" x14ac:dyDescent="0.2">
      <c r="C44" s="279" t="s">
        <v>181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3:14" ht="12" customHeight="1" x14ac:dyDescent="0.2">
      <c r="C45" s="279" t="s">
        <v>182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3:14" ht="12" hidden="1" customHeight="1" x14ac:dyDescent="0.2">
      <c r="C46" s="279" t="s">
        <v>41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3:14" ht="12" hidden="1" customHeight="1" x14ac:dyDescent="0.2">
      <c r="C47" s="279" t="s">
        <v>183</v>
      </c>
      <c r="D47" s="44"/>
      <c r="E47" s="44"/>
      <c r="F47" s="284" t="e">
        <f>CHOOSE(#REF!," West"," North"," East"," South"," Empirical")</f>
        <v>#REF!</v>
      </c>
      <c r="G47" s="44"/>
      <c r="H47" s="44"/>
      <c r="I47" s="44"/>
      <c r="J47" s="44"/>
      <c r="K47" s="44"/>
      <c r="L47" s="44"/>
      <c r="M47" s="44"/>
      <c r="N47" s="44"/>
    </row>
    <row r="48" spans="3:14" ht="12" hidden="1" customHeight="1" x14ac:dyDescent="0.2">
      <c r="C48" s="279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3:14" ht="12" hidden="1" customHeight="1" x14ac:dyDescent="0.2">
      <c r="C49" s="279" t="s">
        <v>184</v>
      </c>
      <c r="D49" s="44"/>
      <c r="E49" s="44"/>
      <c r="F49" s="44"/>
      <c r="G49" s="44"/>
      <c r="H49" s="44"/>
      <c r="I49" s="44"/>
      <c r="J49" s="284" t="e">
        <f>CHOOSE(#REF!,"Male","Female","Both sexes")</f>
        <v>#REF!</v>
      </c>
      <c r="K49" s="44"/>
      <c r="L49" s="44"/>
      <c r="M49" s="44"/>
      <c r="N49" s="44"/>
    </row>
    <row r="50" spans="3:14" ht="12" hidden="1" customHeight="1" x14ac:dyDescent="0.2">
      <c r="C50" s="283" t="s">
        <v>70</v>
      </c>
      <c r="D50" s="283" t="s">
        <v>70</v>
      </c>
      <c r="E50" s="283" t="s">
        <v>70</v>
      </c>
      <c r="F50" s="283" t="s">
        <v>70</v>
      </c>
      <c r="G50" s="283" t="s">
        <v>70</v>
      </c>
      <c r="H50" s="283" t="s">
        <v>70</v>
      </c>
      <c r="I50" s="283" t="s">
        <v>70</v>
      </c>
      <c r="J50" s="283" t="s">
        <v>70</v>
      </c>
      <c r="K50" s="283" t="s">
        <v>70</v>
      </c>
      <c r="L50" s="283" t="s">
        <v>70</v>
      </c>
      <c r="M50" s="283" t="s">
        <v>70</v>
      </c>
      <c r="N50" s="44"/>
    </row>
    <row r="51" spans="3:14" ht="12" hidden="1" customHeight="1" x14ac:dyDescent="0.2">
      <c r="C51" s="279" t="s">
        <v>158</v>
      </c>
      <c r="D51" s="280" t="s">
        <v>159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3:14" ht="12" hidden="1" customHeight="1" x14ac:dyDescent="0.2">
      <c r="C52" s="279" t="s">
        <v>121</v>
      </c>
      <c r="D52" s="280" t="s">
        <v>160</v>
      </c>
      <c r="E52" s="280" t="s">
        <v>161</v>
      </c>
      <c r="F52" s="280" t="s">
        <v>162</v>
      </c>
      <c r="G52" s="280" t="s">
        <v>163</v>
      </c>
      <c r="H52" s="280" t="s">
        <v>164</v>
      </c>
      <c r="I52" s="280" t="s">
        <v>165</v>
      </c>
      <c r="J52" s="280" t="s">
        <v>166</v>
      </c>
      <c r="K52" s="280" t="s">
        <v>167</v>
      </c>
      <c r="L52" s="280" t="s">
        <v>168</v>
      </c>
      <c r="M52" s="280" t="s">
        <v>169</v>
      </c>
      <c r="N52" s="44"/>
    </row>
    <row r="53" spans="3:14" ht="12" hidden="1" customHeight="1" x14ac:dyDescent="0.2">
      <c r="C53" s="283" t="s">
        <v>70</v>
      </c>
      <c r="D53" s="283" t="s">
        <v>70</v>
      </c>
      <c r="E53" s="283" t="s">
        <v>70</v>
      </c>
      <c r="F53" s="283" t="s">
        <v>70</v>
      </c>
      <c r="G53" s="283" t="s">
        <v>70</v>
      </c>
      <c r="H53" s="283" t="s">
        <v>70</v>
      </c>
      <c r="I53" s="283" t="s">
        <v>70</v>
      </c>
      <c r="J53" s="283" t="s">
        <v>70</v>
      </c>
      <c r="K53" s="283" t="s">
        <v>70</v>
      </c>
      <c r="L53" s="283" t="s">
        <v>70</v>
      </c>
      <c r="M53" s="283" t="s">
        <v>70</v>
      </c>
      <c r="N53" s="44"/>
    </row>
    <row r="54" spans="3:14" ht="12" hidden="1" customHeight="1" x14ac:dyDescent="0.2">
      <c r="C54" s="284">
        <f t="shared" ref="C54:C75" si="0">C9</f>
        <v>0</v>
      </c>
      <c r="D54" s="284">
        <v>1</v>
      </c>
      <c r="E54" s="285">
        <f>E9</f>
        <v>4.2301904892801511E-3</v>
      </c>
      <c r="F54" s="286">
        <f>F9</f>
        <v>6.2640449438202253E-2</v>
      </c>
      <c r="G54" s="285">
        <f>G9</f>
        <v>4.2134831460674156E-3</v>
      </c>
      <c r="H54" s="287">
        <v>100000</v>
      </c>
      <c r="I54" s="287">
        <f t="shared" ref="I54:I67" si="1">H54*G54</f>
        <v>421.34831460674155</v>
      </c>
      <c r="J54" s="287">
        <f t="shared" ref="J54:J67" si="2">H55*D54+I54*F54</f>
        <v>99605.045133190244</v>
      </c>
      <c r="K54" s="285" t="e">
        <f>(J54+J55)/(5*H54)</f>
        <v>#REF!</v>
      </c>
      <c r="L54" s="287" t="e">
        <f t="shared" ref="L54:L67" si="3">L55+J54</f>
        <v>#REF!</v>
      </c>
      <c r="M54" s="302" t="e">
        <f t="shared" ref="M54:M67" si="4">L54/H54</f>
        <v>#REF!</v>
      </c>
      <c r="N54" s="44"/>
    </row>
    <row r="55" spans="3:14" ht="12" hidden="1" customHeight="1" x14ac:dyDescent="0.2">
      <c r="C55" s="284">
        <f t="shared" si="0"/>
        <v>1</v>
      </c>
      <c r="D55" s="284">
        <v>4</v>
      </c>
      <c r="E55" s="285" t="e">
        <f t="shared" ref="E55:E67" si="5">J333</f>
        <v>#REF!</v>
      </c>
      <c r="F55" s="286">
        <f>F10</f>
        <v>1.7261446629213484</v>
      </c>
      <c r="G55" s="285" t="e">
        <f t="shared" ref="G55:G67" si="6">D55*E55/(1+(D55-F55)*E55)</f>
        <v>#REF!</v>
      </c>
      <c r="H55" s="287">
        <f t="shared" ref="H55:H67" si="7">H54*(1-G54)</f>
        <v>99578.651685393255</v>
      </c>
      <c r="I55" s="287" t="e">
        <f t="shared" si="1"/>
        <v>#REF!</v>
      </c>
      <c r="J55" s="287" t="e">
        <f t="shared" si="2"/>
        <v>#REF!</v>
      </c>
      <c r="K55" s="285" t="e">
        <f>J56/(J55+J54)</f>
        <v>#REF!</v>
      </c>
      <c r="L55" s="287" t="e">
        <f t="shared" si="3"/>
        <v>#REF!</v>
      </c>
      <c r="M55" s="302" t="e">
        <f t="shared" si="4"/>
        <v>#REF!</v>
      </c>
      <c r="N55" s="44"/>
    </row>
    <row r="56" spans="3:14" ht="12" hidden="1" customHeight="1" x14ac:dyDescent="0.2">
      <c r="C56" s="284">
        <f t="shared" si="0"/>
        <v>5</v>
      </c>
      <c r="D56" s="284">
        <v>5</v>
      </c>
      <c r="E56" s="285" t="e">
        <f t="shared" si="5"/>
        <v>#REF!</v>
      </c>
      <c r="F56" s="286">
        <v>2.5</v>
      </c>
      <c r="G56" s="285" t="e">
        <f t="shared" si="6"/>
        <v>#REF!</v>
      </c>
      <c r="H56" s="287" t="e">
        <f t="shared" si="7"/>
        <v>#REF!</v>
      </c>
      <c r="I56" s="287" t="e">
        <f t="shared" si="1"/>
        <v>#REF!</v>
      </c>
      <c r="J56" s="287" t="e">
        <f t="shared" si="2"/>
        <v>#REF!</v>
      </c>
      <c r="K56" s="285" t="e">
        <f t="shared" ref="K56:K66" si="8">J57/J56</f>
        <v>#REF!</v>
      </c>
      <c r="L56" s="287" t="e">
        <f t="shared" si="3"/>
        <v>#REF!</v>
      </c>
      <c r="M56" s="302" t="e">
        <f t="shared" si="4"/>
        <v>#REF!</v>
      </c>
      <c r="N56" s="44"/>
    </row>
    <row r="57" spans="3:14" ht="12" hidden="1" customHeight="1" x14ac:dyDescent="0.2">
      <c r="C57" s="284">
        <f t="shared" si="0"/>
        <v>10</v>
      </c>
      <c r="D57" s="284">
        <v>5</v>
      </c>
      <c r="E57" s="285" t="e">
        <f t="shared" si="5"/>
        <v>#REF!</v>
      </c>
      <c r="F57" s="286">
        <v>2.5</v>
      </c>
      <c r="G57" s="285" t="e">
        <f t="shared" si="6"/>
        <v>#REF!</v>
      </c>
      <c r="H57" s="287" t="e">
        <f t="shared" si="7"/>
        <v>#REF!</v>
      </c>
      <c r="I57" s="287" t="e">
        <f t="shared" si="1"/>
        <v>#REF!</v>
      </c>
      <c r="J57" s="287" t="e">
        <f t="shared" si="2"/>
        <v>#REF!</v>
      </c>
      <c r="K57" s="285" t="e">
        <f t="shared" si="8"/>
        <v>#REF!</v>
      </c>
      <c r="L57" s="287" t="e">
        <f t="shared" si="3"/>
        <v>#REF!</v>
      </c>
      <c r="M57" s="302" t="e">
        <f t="shared" si="4"/>
        <v>#REF!</v>
      </c>
      <c r="N57" s="44"/>
    </row>
    <row r="58" spans="3:14" ht="12" hidden="1" customHeight="1" x14ac:dyDescent="0.2">
      <c r="C58" s="284">
        <f t="shared" si="0"/>
        <v>15</v>
      </c>
      <c r="D58" s="284">
        <v>5</v>
      </c>
      <c r="E58" s="285" t="e">
        <f t="shared" si="5"/>
        <v>#REF!</v>
      </c>
      <c r="F58" s="286">
        <v>2.5</v>
      </c>
      <c r="G58" s="285" t="e">
        <f t="shared" si="6"/>
        <v>#REF!</v>
      </c>
      <c r="H58" s="287" t="e">
        <f t="shared" si="7"/>
        <v>#REF!</v>
      </c>
      <c r="I58" s="287" t="e">
        <f t="shared" si="1"/>
        <v>#REF!</v>
      </c>
      <c r="J58" s="287" t="e">
        <f t="shared" si="2"/>
        <v>#REF!</v>
      </c>
      <c r="K58" s="285" t="e">
        <f t="shared" si="8"/>
        <v>#REF!</v>
      </c>
      <c r="L58" s="287" t="e">
        <f t="shared" si="3"/>
        <v>#REF!</v>
      </c>
      <c r="M58" s="302" t="e">
        <f t="shared" si="4"/>
        <v>#REF!</v>
      </c>
      <c r="N58" s="44"/>
    </row>
    <row r="59" spans="3:14" ht="12" hidden="1" customHeight="1" x14ac:dyDescent="0.2">
      <c r="C59" s="284">
        <f t="shared" si="0"/>
        <v>20</v>
      </c>
      <c r="D59" s="284">
        <v>5</v>
      </c>
      <c r="E59" s="285" t="e">
        <f t="shared" si="5"/>
        <v>#REF!</v>
      </c>
      <c r="F59" s="286">
        <v>2.5</v>
      </c>
      <c r="G59" s="285" t="e">
        <f t="shared" si="6"/>
        <v>#REF!</v>
      </c>
      <c r="H59" s="287" t="e">
        <f t="shared" si="7"/>
        <v>#REF!</v>
      </c>
      <c r="I59" s="287" t="e">
        <f t="shared" si="1"/>
        <v>#REF!</v>
      </c>
      <c r="J59" s="287" t="e">
        <f t="shared" si="2"/>
        <v>#REF!</v>
      </c>
      <c r="K59" s="285" t="e">
        <f t="shared" si="8"/>
        <v>#REF!</v>
      </c>
      <c r="L59" s="287" t="e">
        <f t="shared" si="3"/>
        <v>#REF!</v>
      </c>
      <c r="M59" s="302" t="e">
        <f t="shared" si="4"/>
        <v>#REF!</v>
      </c>
      <c r="N59" s="44"/>
    </row>
    <row r="60" spans="3:14" ht="12" hidden="1" customHeight="1" x14ac:dyDescent="0.2">
      <c r="C60" s="284">
        <f t="shared" si="0"/>
        <v>25</v>
      </c>
      <c r="D60" s="284">
        <v>5</v>
      </c>
      <c r="E60" s="285" t="e">
        <f t="shared" si="5"/>
        <v>#REF!</v>
      </c>
      <c r="F60" s="286">
        <v>2.5</v>
      </c>
      <c r="G60" s="285" t="e">
        <f t="shared" si="6"/>
        <v>#REF!</v>
      </c>
      <c r="H60" s="287" t="e">
        <f t="shared" si="7"/>
        <v>#REF!</v>
      </c>
      <c r="I60" s="287" t="e">
        <f t="shared" si="1"/>
        <v>#REF!</v>
      </c>
      <c r="J60" s="287" t="e">
        <f t="shared" si="2"/>
        <v>#REF!</v>
      </c>
      <c r="K60" s="285" t="e">
        <f t="shared" si="8"/>
        <v>#REF!</v>
      </c>
      <c r="L60" s="287" t="e">
        <f t="shared" si="3"/>
        <v>#REF!</v>
      </c>
      <c r="M60" s="302" t="e">
        <f t="shared" si="4"/>
        <v>#REF!</v>
      </c>
      <c r="N60" s="44"/>
    </row>
    <row r="61" spans="3:14" ht="12" hidden="1" customHeight="1" x14ac:dyDescent="0.2">
      <c r="C61" s="284">
        <f t="shared" si="0"/>
        <v>30</v>
      </c>
      <c r="D61" s="284">
        <v>5</v>
      </c>
      <c r="E61" s="285" t="e">
        <f t="shared" si="5"/>
        <v>#REF!</v>
      </c>
      <c r="F61" s="286">
        <v>2.5</v>
      </c>
      <c r="G61" s="285" t="e">
        <f t="shared" si="6"/>
        <v>#REF!</v>
      </c>
      <c r="H61" s="287" t="e">
        <f t="shared" si="7"/>
        <v>#REF!</v>
      </c>
      <c r="I61" s="287" t="e">
        <f t="shared" si="1"/>
        <v>#REF!</v>
      </c>
      <c r="J61" s="287" t="e">
        <f t="shared" si="2"/>
        <v>#REF!</v>
      </c>
      <c r="K61" s="285" t="e">
        <f t="shared" si="8"/>
        <v>#REF!</v>
      </c>
      <c r="L61" s="287" t="e">
        <f t="shared" si="3"/>
        <v>#REF!</v>
      </c>
      <c r="M61" s="302" t="e">
        <f t="shared" si="4"/>
        <v>#REF!</v>
      </c>
      <c r="N61" s="44"/>
    </row>
    <row r="62" spans="3:14" ht="12" hidden="1" customHeight="1" x14ac:dyDescent="0.2">
      <c r="C62" s="284">
        <f t="shared" si="0"/>
        <v>35</v>
      </c>
      <c r="D62" s="284">
        <v>5</v>
      </c>
      <c r="E62" s="285" t="e">
        <f t="shared" si="5"/>
        <v>#REF!</v>
      </c>
      <c r="F62" s="286">
        <v>2.5</v>
      </c>
      <c r="G62" s="285" t="e">
        <f t="shared" si="6"/>
        <v>#REF!</v>
      </c>
      <c r="H62" s="287" t="e">
        <f t="shared" si="7"/>
        <v>#REF!</v>
      </c>
      <c r="I62" s="287" t="e">
        <f t="shared" si="1"/>
        <v>#REF!</v>
      </c>
      <c r="J62" s="287" t="e">
        <f t="shared" si="2"/>
        <v>#REF!</v>
      </c>
      <c r="K62" s="285" t="e">
        <f t="shared" si="8"/>
        <v>#REF!</v>
      </c>
      <c r="L62" s="287" t="e">
        <f t="shared" si="3"/>
        <v>#REF!</v>
      </c>
      <c r="M62" s="302" t="e">
        <f t="shared" si="4"/>
        <v>#REF!</v>
      </c>
      <c r="N62" s="44"/>
    </row>
    <row r="63" spans="3:14" ht="12" hidden="1" customHeight="1" x14ac:dyDescent="0.2">
      <c r="C63" s="284">
        <f t="shared" si="0"/>
        <v>40</v>
      </c>
      <c r="D63" s="284">
        <v>5</v>
      </c>
      <c r="E63" s="285" t="e">
        <f t="shared" si="5"/>
        <v>#REF!</v>
      </c>
      <c r="F63" s="286">
        <v>2.5</v>
      </c>
      <c r="G63" s="285" t="e">
        <f t="shared" si="6"/>
        <v>#REF!</v>
      </c>
      <c r="H63" s="287" t="e">
        <f t="shared" si="7"/>
        <v>#REF!</v>
      </c>
      <c r="I63" s="287" t="e">
        <f t="shared" si="1"/>
        <v>#REF!</v>
      </c>
      <c r="J63" s="287" t="e">
        <f t="shared" si="2"/>
        <v>#REF!</v>
      </c>
      <c r="K63" s="285" t="e">
        <f t="shared" si="8"/>
        <v>#REF!</v>
      </c>
      <c r="L63" s="287" t="e">
        <f t="shared" si="3"/>
        <v>#REF!</v>
      </c>
      <c r="M63" s="302" t="e">
        <f t="shared" si="4"/>
        <v>#REF!</v>
      </c>
      <c r="N63" s="44"/>
    </row>
    <row r="64" spans="3:14" ht="12" hidden="1" customHeight="1" x14ac:dyDescent="0.2">
      <c r="C64" s="284">
        <f t="shared" si="0"/>
        <v>45</v>
      </c>
      <c r="D64" s="284">
        <v>5</v>
      </c>
      <c r="E64" s="285" t="e">
        <f t="shared" si="5"/>
        <v>#REF!</v>
      </c>
      <c r="F64" s="286">
        <v>2.5</v>
      </c>
      <c r="G64" s="285" t="e">
        <f t="shared" si="6"/>
        <v>#REF!</v>
      </c>
      <c r="H64" s="287" t="e">
        <f t="shared" si="7"/>
        <v>#REF!</v>
      </c>
      <c r="I64" s="287" t="e">
        <f t="shared" si="1"/>
        <v>#REF!</v>
      </c>
      <c r="J64" s="287" t="e">
        <f t="shared" si="2"/>
        <v>#REF!</v>
      </c>
      <c r="K64" s="285" t="e">
        <f t="shared" si="8"/>
        <v>#REF!</v>
      </c>
      <c r="L64" s="287" t="e">
        <f t="shared" si="3"/>
        <v>#REF!</v>
      </c>
      <c r="M64" s="302" t="e">
        <f t="shared" si="4"/>
        <v>#REF!</v>
      </c>
      <c r="N64" s="44"/>
    </row>
    <row r="65" spans="3:14" ht="12" hidden="1" customHeight="1" x14ac:dyDescent="0.2">
      <c r="C65" s="284">
        <f t="shared" si="0"/>
        <v>50</v>
      </c>
      <c r="D65" s="284">
        <v>5</v>
      </c>
      <c r="E65" s="285" t="e">
        <f t="shared" si="5"/>
        <v>#REF!</v>
      </c>
      <c r="F65" s="286">
        <v>2.5</v>
      </c>
      <c r="G65" s="285" t="e">
        <f t="shared" si="6"/>
        <v>#REF!</v>
      </c>
      <c r="H65" s="287" t="e">
        <f t="shared" si="7"/>
        <v>#REF!</v>
      </c>
      <c r="I65" s="287" t="e">
        <f t="shared" si="1"/>
        <v>#REF!</v>
      </c>
      <c r="J65" s="287" t="e">
        <f t="shared" si="2"/>
        <v>#REF!</v>
      </c>
      <c r="K65" s="285" t="e">
        <f t="shared" si="8"/>
        <v>#REF!</v>
      </c>
      <c r="L65" s="287" t="e">
        <f t="shared" si="3"/>
        <v>#REF!</v>
      </c>
      <c r="M65" s="302" t="e">
        <f t="shared" si="4"/>
        <v>#REF!</v>
      </c>
      <c r="N65" s="44"/>
    </row>
    <row r="66" spans="3:14" ht="12" hidden="1" customHeight="1" x14ac:dyDescent="0.2">
      <c r="C66" s="284">
        <f t="shared" si="0"/>
        <v>55</v>
      </c>
      <c r="D66" s="284">
        <v>5</v>
      </c>
      <c r="E66" s="285" t="e">
        <f t="shared" si="5"/>
        <v>#REF!</v>
      </c>
      <c r="F66" s="286">
        <v>2.5</v>
      </c>
      <c r="G66" s="285" t="e">
        <f t="shared" si="6"/>
        <v>#REF!</v>
      </c>
      <c r="H66" s="287" t="e">
        <f t="shared" si="7"/>
        <v>#REF!</v>
      </c>
      <c r="I66" s="287" t="e">
        <f t="shared" si="1"/>
        <v>#REF!</v>
      </c>
      <c r="J66" s="287" t="e">
        <f t="shared" si="2"/>
        <v>#REF!</v>
      </c>
      <c r="K66" s="285" t="e">
        <f t="shared" si="8"/>
        <v>#REF!</v>
      </c>
      <c r="L66" s="287" t="e">
        <f t="shared" si="3"/>
        <v>#REF!</v>
      </c>
      <c r="M66" s="302" t="e">
        <f t="shared" si="4"/>
        <v>#REF!</v>
      </c>
      <c r="N66" s="44"/>
    </row>
    <row r="67" spans="3:14" ht="12" hidden="1" customHeight="1" x14ac:dyDescent="0.2">
      <c r="C67" s="284">
        <f t="shared" si="0"/>
        <v>60</v>
      </c>
      <c r="D67" s="284">
        <v>5</v>
      </c>
      <c r="E67" s="285" t="e">
        <f t="shared" si="5"/>
        <v>#REF!</v>
      </c>
      <c r="F67" s="286">
        <v>2.5</v>
      </c>
      <c r="G67" s="285" t="e">
        <f t="shared" si="6"/>
        <v>#REF!</v>
      </c>
      <c r="H67" s="287" t="e">
        <f t="shared" si="7"/>
        <v>#REF!</v>
      </c>
      <c r="I67" s="287" t="e">
        <f t="shared" si="1"/>
        <v>#REF!</v>
      </c>
      <c r="J67" s="287" t="e">
        <f t="shared" si="2"/>
        <v>#REF!</v>
      </c>
      <c r="K67" s="285" t="e">
        <f t="shared" ref="K67:K74" si="9">CHOOSE(D237+1,J68/J67,L68/L67," ")</f>
        <v>#REF!</v>
      </c>
      <c r="L67" s="287" t="e">
        <f t="shared" si="3"/>
        <v>#REF!</v>
      </c>
      <c r="M67" s="302" t="e">
        <f t="shared" si="4"/>
        <v>#REF!</v>
      </c>
      <c r="N67" s="44"/>
    </row>
    <row r="68" spans="3:14" ht="12" hidden="1" customHeight="1" x14ac:dyDescent="0.2">
      <c r="C68" s="284">
        <f t="shared" si="0"/>
        <v>65</v>
      </c>
      <c r="D68" s="284" t="e">
        <f t="shared" ref="D68:D75" si="10">CHOOSE(D237+1,5,"     +"," ")</f>
        <v>#REF!</v>
      </c>
      <c r="E68" s="285" t="e">
        <f t="shared" ref="E68:E75" si="11">IF(D237&lt;2,J346," ")</f>
        <v>#REF!</v>
      </c>
      <c r="F68" s="286" t="e">
        <f t="shared" ref="F68:F75" si="12">CHOOSE(D237+1,2.5,1/E68," ")</f>
        <v>#REF!</v>
      </c>
      <c r="G68" s="285" t="e">
        <f t="shared" ref="G68:G75" si="13">CHOOSE(D237+1,D68*E68/(1+(D68-F68)*E68),1," ")</f>
        <v>#REF!</v>
      </c>
      <c r="H68" s="287" t="e">
        <f t="shared" ref="H68:H75" si="14">IF(D237&lt;2,H67*(1-G67)," ")</f>
        <v>#REF!</v>
      </c>
      <c r="I68" s="287" t="e">
        <f t="shared" ref="I68:I75" si="15">IF(D237&lt;2,H68*G68," ")</f>
        <v>#REF!</v>
      </c>
      <c r="J68" s="287" t="e">
        <f t="shared" ref="J68:J75" si="16">CHOOSE(D237+1,+H69*D68+I68*F68,H68/E68," ")</f>
        <v>#REF!</v>
      </c>
      <c r="K68" s="285" t="e">
        <f t="shared" si="9"/>
        <v>#REF!</v>
      </c>
      <c r="L68" s="287" t="e">
        <f t="shared" ref="L68:L75" si="17">CHOOSE(D237+1,L69+J68,J68," ")</f>
        <v>#REF!</v>
      </c>
      <c r="M68" s="302" t="e">
        <f t="shared" ref="M68:M75" si="18">IF(D237&lt;2,L68/H68," ")</f>
        <v>#REF!</v>
      </c>
      <c r="N68" s="44"/>
    </row>
    <row r="69" spans="3:14" ht="12" hidden="1" customHeight="1" x14ac:dyDescent="0.2">
      <c r="C69" s="284">
        <f t="shared" si="0"/>
        <v>70</v>
      </c>
      <c r="D69" s="284" t="e">
        <f t="shared" si="10"/>
        <v>#REF!</v>
      </c>
      <c r="E69" s="285" t="e">
        <f t="shared" si="11"/>
        <v>#REF!</v>
      </c>
      <c r="F69" s="286" t="e">
        <f t="shared" si="12"/>
        <v>#REF!</v>
      </c>
      <c r="G69" s="285" t="e">
        <f t="shared" si="13"/>
        <v>#REF!</v>
      </c>
      <c r="H69" s="287" t="e">
        <f t="shared" si="14"/>
        <v>#REF!</v>
      </c>
      <c r="I69" s="287" t="e">
        <f t="shared" si="15"/>
        <v>#REF!</v>
      </c>
      <c r="J69" s="287" t="e">
        <f t="shared" si="16"/>
        <v>#REF!</v>
      </c>
      <c r="K69" s="285" t="e">
        <f t="shared" si="9"/>
        <v>#REF!</v>
      </c>
      <c r="L69" s="287" t="e">
        <f t="shared" si="17"/>
        <v>#REF!</v>
      </c>
      <c r="M69" s="302" t="e">
        <f t="shared" si="18"/>
        <v>#REF!</v>
      </c>
      <c r="N69" s="44"/>
    </row>
    <row r="70" spans="3:14" ht="12" hidden="1" customHeight="1" x14ac:dyDescent="0.2">
      <c r="C70" s="284">
        <f t="shared" si="0"/>
        <v>75</v>
      </c>
      <c r="D70" s="284" t="e">
        <f t="shared" si="10"/>
        <v>#REF!</v>
      </c>
      <c r="E70" s="285" t="e">
        <f t="shared" si="11"/>
        <v>#REF!</v>
      </c>
      <c r="F70" s="286" t="e">
        <f t="shared" si="12"/>
        <v>#REF!</v>
      </c>
      <c r="G70" s="285" t="e">
        <f t="shared" si="13"/>
        <v>#REF!</v>
      </c>
      <c r="H70" s="287" t="e">
        <f t="shared" si="14"/>
        <v>#REF!</v>
      </c>
      <c r="I70" s="287" t="e">
        <f t="shared" si="15"/>
        <v>#REF!</v>
      </c>
      <c r="J70" s="287" t="e">
        <f t="shared" si="16"/>
        <v>#REF!</v>
      </c>
      <c r="K70" s="285" t="e">
        <f t="shared" si="9"/>
        <v>#REF!</v>
      </c>
      <c r="L70" s="287" t="e">
        <f t="shared" si="17"/>
        <v>#REF!</v>
      </c>
      <c r="M70" s="302" t="e">
        <f t="shared" si="18"/>
        <v>#REF!</v>
      </c>
      <c r="N70" s="44"/>
    </row>
    <row r="71" spans="3:14" ht="12" hidden="1" customHeight="1" x14ac:dyDescent="0.2">
      <c r="C71" s="284">
        <f t="shared" si="0"/>
        <v>80</v>
      </c>
      <c r="D71" s="284" t="e">
        <f t="shared" si="10"/>
        <v>#REF!</v>
      </c>
      <c r="E71" s="285" t="e">
        <f t="shared" si="11"/>
        <v>#REF!</v>
      </c>
      <c r="F71" s="286" t="e">
        <f t="shared" si="12"/>
        <v>#REF!</v>
      </c>
      <c r="G71" s="285" t="e">
        <f t="shared" si="13"/>
        <v>#REF!</v>
      </c>
      <c r="H71" s="287" t="e">
        <f t="shared" si="14"/>
        <v>#REF!</v>
      </c>
      <c r="I71" s="287" t="e">
        <f t="shared" si="15"/>
        <v>#REF!</v>
      </c>
      <c r="J71" s="287" t="e">
        <f t="shared" si="16"/>
        <v>#REF!</v>
      </c>
      <c r="K71" s="285" t="e">
        <f t="shared" si="9"/>
        <v>#REF!</v>
      </c>
      <c r="L71" s="287" t="e">
        <f t="shared" si="17"/>
        <v>#REF!</v>
      </c>
      <c r="M71" s="302" t="e">
        <f t="shared" si="18"/>
        <v>#REF!</v>
      </c>
      <c r="N71" s="44"/>
    </row>
    <row r="72" spans="3:14" ht="12" hidden="1" customHeight="1" x14ac:dyDescent="0.2">
      <c r="C72" s="284">
        <f t="shared" si="0"/>
        <v>85</v>
      </c>
      <c r="D72" s="284" t="e">
        <f t="shared" si="10"/>
        <v>#REF!</v>
      </c>
      <c r="E72" s="285" t="e">
        <f t="shared" si="11"/>
        <v>#REF!</v>
      </c>
      <c r="F72" s="286" t="e">
        <f t="shared" si="12"/>
        <v>#REF!</v>
      </c>
      <c r="G72" s="285" t="e">
        <f t="shared" si="13"/>
        <v>#REF!</v>
      </c>
      <c r="H72" s="287" t="e">
        <f t="shared" si="14"/>
        <v>#REF!</v>
      </c>
      <c r="I72" s="287" t="e">
        <f t="shared" si="15"/>
        <v>#REF!</v>
      </c>
      <c r="J72" s="287" t="e">
        <f t="shared" si="16"/>
        <v>#REF!</v>
      </c>
      <c r="K72" s="285" t="e">
        <f t="shared" si="9"/>
        <v>#REF!</v>
      </c>
      <c r="L72" s="287" t="e">
        <f t="shared" si="17"/>
        <v>#REF!</v>
      </c>
      <c r="M72" s="302" t="e">
        <f t="shared" si="18"/>
        <v>#REF!</v>
      </c>
      <c r="N72" s="44"/>
    </row>
    <row r="73" spans="3:14" ht="12" hidden="1" customHeight="1" x14ac:dyDescent="0.2">
      <c r="C73" s="284">
        <f t="shared" si="0"/>
        <v>90</v>
      </c>
      <c r="D73" s="284" t="e">
        <f t="shared" si="10"/>
        <v>#REF!</v>
      </c>
      <c r="E73" s="285" t="e">
        <f t="shared" si="11"/>
        <v>#REF!</v>
      </c>
      <c r="F73" s="286" t="e">
        <f t="shared" si="12"/>
        <v>#REF!</v>
      </c>
      <c r="G73" s="285" t="e">
        <f t="shared" si="13"/>
        <v>#REF!</v>
      </c>
      <c r="H73" s="287" t="e">
        <f t="shared" si="14"/>
        <v>#REF!</v>
      </c>
      <c r="I73" s="287" t="e">
        <f t="shared" si="15"/>
        <v>#REF!</v>
      </c>
      <c r="J73" s="287" t="e">
        <f t="shared" si="16"/>
        <v>#REF!</v>
      </c>
      <c r="K73" s="285" t="e">
        <f t="shared" si="9"/>
        <v>#REF!</v>
      </c>
      <c r="L73" s="287" t="e">
        <f t="shared" si="17"/>
        <v>#REF!</v>
      </c>
      <c r="M73" s="302" t="e">
        <f t="shared" si="18"/>
        <v>#REF!</v>
      </c>
      <c r="N73" s="44"/>
    </row>
    <row r="74" spans="3:14" ht="12" hidden="1" customHeight="1" x14ac:dyDescent="0.2">
      <c r="C74" s="284">
        <f t="shared" si="0"/>
        <v>95</v>
      </c>
      <c r="D74" s="284" t="e">
        <f t="shared" si="10"/>
        <v>#REF!</v>
      </c>
      <c r="E74" s="285" t="e">
        <f t="shared" si="11"/>
        <v>#REF!</v>
      </c>
      <c r="F74" s="286" t="e">
        <f t="shared" si="12"/>
        <v>#REF!</v>
      </c>
      <c r="G74" s="285" t="e">
        <f t="shared" si="13"/>
        <v>#REF!</v>
      </c>
      <c r="H74" s="287" t="e">
        <f t="shared" si="14"/>
        <v>#REF!</v>
      </c>
      <c r="I74" s="287" t="e">
        <f t="shared" si="15"/>
        <v>#REF!</v>
      </c>
      <c r="J74" s="287" t="e">
        <f t="shared" si="16"/>
        <v>#REF!</v>
      </c>
      <c r="K74" s="285" t="e">
        <f t="shared" si="9"/>
        <v>#REF!</v>
      </c>
      <c r="L74" s="287" t="e">
        <f t="shared" si="17"/>
        <v>#REF!</v>
      </c>
      <c r="M74" s="302" t="e">
        <f t="shared" si="18"/>
        <v>#REF!</v>
      </c>
      <c r="N74" s="44"/>
    </row>
    <row r="75" spans="3:14" ht="12" hidden="1" customHeight="1" x14ac:dyDescent="0.2">
      <c r="C75" s="284">
        <f t="shared" si="0"/>
        <v>0</v>
      </c>
      <c r="D75" s="284" t="e">
        <f t="shared" si="10"/>
        <v>#REF!</v>
      </c>
      <c r="E75" s="285" t="e">
        <f t="shared" si="11"/>
        <v>#REF!</v>
      </c>
      <c r="F75" s="286" t="e">
        <f t="shared" si="12"/>
        <v>#REF!</v>
      </c>
      <c r="G75" s="285" t="e">
        <f t="shared" si="13"/>
        <v>#REF!</v>
      </c>
      <c r="H75" s="287" t="e">
        <f t="shared" si="14"/>
        <v>#REF!</v>
      </c>
      <c r="I75" s="287" t="e">
        <f t="shared" si="15"/>
        <v>#REF!</v>
      </c>
      <c r="J75" s="287" t="e">
        <f t="shared" si="16"/>
        <v>#REF!</v>
      </c>
      <c r="K75" s="285"/>
      <c r="L75" s="287" t="e">
        <f t="shared" si="17"/>
        <v>#REF!</v>
      </c>
      <c r="M75" s="302" t="e">
        <f t="shared" si="18"/>
        <v>#REF!</v>
      </c>
      <c r="N75" s="44"/>
    </row>
    <row r="76" spans="3:14" ht="12" hidden="1" customHeight="1" x14ac:dyDescent="0.2">
      <c r="C76" s="283" t="s">
        <v>70</v>
      </c>
      <c r="D76" s="283" t="s">
        <v>70</v>
      </c>
      <c r="E76" s="283" t="s">
        <v>70</v>
      </c>
      <c r="F76" s="283" t="s">
        <v>70</v>
      </c>
      <c r="G76" s="283" t="s">
        <v>70</v>
      </c>
      <c r="H76" s="283" t="s">
        <v>70</v>
      </c>
      <c r="I76" s="283" t="s">
        <v>70</v>
      </c>
      <c r="J76" s="283" t="s">
        <v>70</v>
      </c>
      <c r="K76" s="283" t="s">
        <v>70</v>
      </c>
      <c r="L76" s="283" t="s">
        <v>70</v>
      </c>
      <c r="M76" s="283" t="s">
        <v>70</v>
      </c>
      <c r="N76" s="44"/>
    </row>
    <row r="77" spans="3:14" ht="12" customHeight="1" x14ac:dyDescent="0.2">
      <c r="C77" s="279" t="s">
        <v>170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3:14" ht="12" customHeight="1" x14ac:dyDescent="0.2">
      <c r="C78" s="279" t="s">
        <v>171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3:14" ht="12" customHeight="1" x14ac:dyDescent="0.2">
      <c r="C79" s="279" t="s">
        <v>172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3:14" ht="12" customHeight="1" x14ac:dyDescent="0.2">
      <c r="C80" s="279" t="s">
        <v>173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3:14" ht="12" customHeight="1" x14ac:dyDescent="0.2">
      <c r="C81" s="279" t="s">
        <v>174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3:14" ht="12" customHeight="1" x14ac:dyDescent="0.2">
      <c r="C82" s="279" t="s">
        <v>175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3:14" ht="12" customHeight="1" x14ac:dyDescent="0.2">
      <c r="C83" s="279" t="s">
        <v>185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3:14" ht="12" customHeight="1" x14ac:dyDescent="0.2">
      <c r="C84" s="279" t="s">
        <v>177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3:14" ht="12" customHeight="1" x14ac:dyDescent="0.2">
      <c r="C85" s="279" t="s">
        <v>178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3:14" ht="12" customHeight="1" x14ac:dyDescent="0.2">
      <c r="C86" s="279" t="s">
        <v>179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3:14" ht="12" customHeight="1" x14ac:dyDescent="0.2">
      <c r="C87" s="279" t="s">
        <v>180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3:14" ht="12" customHeight="1" x14ac:dyDescent="0.2">
      <c r="C88" s="279" t="s">
        <v>181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3:14" ht="12" customHeight="1" x14ac:dyDescent="0.2">
      <c r="C89" s="279" t="s">
        <v>182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3:14" ht="12" customHeight="1" x14ac:dyDescent="0.2">
      <c r="C90" s="279" t="s">
        <v>41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3:14" ht="12" customHeight="1" x14ac:dyDescent="0.2">
      <c r="C91" s="279" t="s">
        <v>186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3:14" ht="12" customHeight="1" x14ac:dyDescent="0.2">
      <c r="C92" s="279" t="s">
        <v>187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3:14" ht="12" customHeight="1" x14ac:dyDescent="0.2">
      <c r="C93" s="303"/>
      <c r="F93" s="304"/>
    </row>
    <row r="94" spans="3:14" ht="10.5" customHeight="1" x14ac:dyDescent="0.2">
      <c r="C94" s="303"/>
    </row>
    <row r="101" spans="3:12" ht="12" customHeight="1" x14ac:dyDescent="0.2">
      <c r="C101" s="305"/>
    </row>
    <row r="102" spans="3:12" ht="12" customHeight="1" x14ac:dyDescent="0.2">
      <c r="D102" s="306"/>
    </row>
    <row r="104" spans="3:12" ht="12" customHeight="1" x14ac:dyDescent="0.2">
      <c r="C104" s="305"/>
    </row>
    <row r="106" spans="3:12" ht="12" customHeight="1" x14ac:dyDescent="0.2">
      <c r="C106" s="303"/>
    </row>
    <row r="108" spans="3:12" ht="12" customHeight="1" x14ac:dyDescent="0.2">
      <c r="C108" s="303"/>
      <c r="D108" s="307"/>
      <c r="E108" s="307"/>
      <c r="F108" s="307"/>
      <c r="G108" s="307"/>
      <c r="H108" s="307"/>
      <c r="I108" s="307"/>
      <c r="J108" s="307"/>
      <c r="K108" s="307"/>
      <c r="L108" s="307"/>
    </row>
    <row r="109" spans="3:12" ht="12" customHeight="1" x14ac:dyDescent="0.2">
      <c r="C109" s="303"/>
    </row>
    <row r="110" spans="3:12" ht="12" customHeight="1" x14ac:dyDescent="0.2">
      <c r="C110" s="303"/>
    </row>
    <row r="111" spans="3:12" ht="12" customHeight="1" x14ac:dyDescent="0.2">
      <c r="C111" s="303"/>
    </row>
    <row r="113" spans="3:9" ht="12" customHeight="1" x14ac:dyDescent="0.2">
      <c r="C113" s="305"/>
    </row>
    <row r="121" spans="3:9" ht="12" customHeight="1" x14ac:dyDescent="0.2">
      <c r="C121" s="305" t="s">
        <v>189</v>
      </c>
    </row>
    <row r="123" spans="3:9" ht="12" customHeight="1" x14ac:dyDescent="0.2">
      <c r="C123" s="303" t="s">
        <v>190</v>
      </c>
      <c r="D123" s="303" t="s">
        <v>191</v>
      </c>
    </row>
    <row r="124" spans="3:9" ht="12" customHeight="1" x14ac:dyDescent="0.2">
      <c r="C124" s="303" t="s">
        <v>192</v>
      </c>
      <c r="D124" s="308" t="s">
        <v>70</v>
      </c>
      <c r="E124" s="308" t="s">
        <v>70</v>
      </c>
      <c r="F124" s="308" t="s">
        <v>70</v>
      </c>
      <c r="G124" s="308" t="s">
        <v>70</v>
      </c>
      <c r="H124" s="308" t="s">
        <v>70</v>
      </c>
      <c r="I124" s="308" t="s">
        <v>70</v>
      </c>
    </row>
    <row r="125" spans="3:9" ht="12" customHeight="1" x14ac:dyDescent="0.2">
      <c r="C125" s="303" t="s">
        <v>193</v>
      </c>
      <c r="D125" s="305" t="s">
        <v>194</v>
      </c>
    </row>
    <row r="126" spans="3:9" ht="12" customHeight="1" x14ac:dyDescent="0.2">
      <c r="C126" s="303" t="s">
        <v>195</v>
      </c>
      <c r="D126" s="305" t="s">
        <v>196</v>
      </c>
    </row>
    <row r="127" spans="3:9" ht="12" customHeight="1" x14ac:dyDescent="0.2">
      <c r="D127" s="309" t="s">
        <v>197</v>
      </c>
    </row>
    <row r="128" spans="3:9" ht="12" customHeight="1" x14ac:dyDescent="0.2">
      <c r="C128" s="303" t="s">
        <v>198</v>
      </c>
      <c r="D128" s="305" t="s">
        <v>199</v>
      </c>
    </row>
    <row r="129" spans="3:9" ht="12" customHeight="1" x14ac:dyDescent="0.2">
      <c r="C129" s="303" t="s">
        <v>200</v>
      </c>
      <c r="D129" s="303" t="s">
        <v>201</v>
      </c>
    </row>
    <row r="130" spans="3:9" ht="12" customHeight="1" x14ac:dyDescent="0.2">
      <c r="D130" s="303" t="s">
        <v>202</v>
      </c>
    </row>
    <row r="131" spans="3:9" ht="12" customHeight="1" x14ac:dyDescent="0.2">
      <c r="D131" s="303" t="s">
        <v>203</v>
      </c>
    </row>
    <row r="132" spans="3:9" ht="12" customHeight="1" x14ac:dyDescent="0.2">
      <c r="D132" s="303" t="s">
        <v>204</v>
      </c>
    </row>
    <row r="133" spans="3:9" ht="12" customHeight="1" x14ac:dyDescent="0.2">
      <c r="D133" s="303" t="s">
        <v>205</v>
      </c>
    </row>
    <row r="134" spans="3:9" ht="12" customHeight="1" x14ac:dyDescent="0.2">
      <c r="C134" s="303" t="s">
        <v>206</v>
      </c>
      <c r="D134" s="305" t="s">
        <v>207</v>
      </c>
    </row>
    <row r="135" spans="3:9" ht="12" customHeight="1" x14ac:dyDescent="0.2">
      <c r="D135" s="303" t="s">
        <v>208</v>
      </c>
    </row>
    <row r="136" spans="3:9" ht="12" customHeight="1" x14ac:dyDescent="0.2">
      <c r="C136" s="303" t="s">
        <v>209</v>
      </c>
      <c r="D136" s="305" t="s">
        <v>210</v>
      </c>
    </row>
    <row r="137" spans="3:9" ht="12" customHeight="1" x14ac:dyDescent="0.2">
      <c r="C137" s="303" t="s">
        <v>55</v>
      </c>
      <c r="D137" s="305" t="s">
        <v>211</v>
      </c>
    </row>
    <row r="139" spans="3:9" ht="12" customHeight="1" x14ac:dyDescent="0.2">
      <c r="C139" s="305" t="s">
        <v>188</v>
      </c>
    </row>
    <row r="141" spans="3:9" ht="12" customHeight="1" x14ac:dyDescent="0.2">
      <c r="C141" s="305" t="s">
        <v>212</v>
      </c>
    </row>
    <row r="143" spans="3:9" ht="12" customHeight="1" x14ac:dyDescent="0.2">
      <c r="C143" s="303" t="s">
        <v>190</v>
      </c>
      <c r="D143" s="303" t="s">
        <v>191</v>
      </c>
    </row>
    <row r="144" spans="3:9" ht="12" customHeight="1" x14ac:dyDescent="0.2">
      <c r="C144" s="303" t="s">
        <v>192</v>
      </c>
      <c r="D144" s="308" t="s">
        <v>70</v>
      </c>
      <c r="E144" s="308" t="s">
        <v>70</v>
      </c>
      <c r="F144" s="308" t="s">
        <v>70</v>
      </c>
      <c r="G144" s="308" t="s">
        <v>70</v>
      </c>
      <c r="H144" s="308" t="s">
        <v>70</v>
      </c>
      <c r="I144" s="308" t="s">
        <v>70</v>
      </c>
    </row>
    <row r="145" spans="3:4" ht="12" customHeight="1" x14ac:dyDescent="0.2">
      <c r="C145" s="303" t="s">
        <v>213</v>
      </c>
      <c r="D145" s="305" t="s">
        <v>214</v>
      </c>
    </row>
    <row r="146" spans="3:4" ht="12" customHeight="1" x14ac:dyDescent="0.2">
      <c r="D146" s="303" t="s">
        <v>215</v>
      </c>
    </row>
    <row r="147" spans="3:4" ht="12" customHeight="1" x14ac:dyDescent="0.2">
      <c r="C147" s="303" t="s">
        <v>216</v>
      </c>
      <c r="D147" s="305" t="s">
        <v>217</v>
      </c>
    </row>
    <row r="148" spans="3:4" ht="12" customHeight="1" x14ac:dyDescent="0.2">
      <c r="D148" s="303" t="s">
        <v>218</v>
      </c>
    </row>
    <row r="149" spans="3:4" ht="12" customHeight="1" x14ac:dyDescent="0.2">
      <c r="C149" s="303" t="s">
        <v>219</v>
      </c>
      <c r="D149" s="303" t="s">
        <v>220</v>
      </c>
    </row>
    <row r="150" spans="3:4" ht="12" customHeight="1" x14ac:dyDescent="0.2">
      <c r="C150" s="303" t="s">
        <v>221</v>
      </c>
      <c r="D150" s="303" t="s">
        <v>222</v>
      </c>
    </row>
    <row r="152" spans="3:4" ht="12" customHeight="1" x14ac:dyDescent="0.2">
      <c r="C152" s="303" t="s">
        <v>223</v>
      </c>
      <c r="D152" s="303" t="s">
        <v>224</v>
      </c>
    </row>
    <row r="153" spans="3:4" ht="12" customHeight="1" x14ac:dyDescent="0.2">
      <c r="D153" s="303" t="s">
        <v>225</v>
      </c>
    </row>
    <row r="154" spans="3:4" ht="12" customHeight="1" x14ac:dyDescent="0.2">
      <c r="D154" s="303" t="s">
        <v>226</v>
      </c>
    </row>
    <row r="155" spans="3:4" ht="12" customHeight="1" x14ac:dyDescent="0.2">
      <c r="D155" s="303" t="s">
        <v>227</v>
      </c>
    </row>
    <row r="156" spans="3:4" ht="12" customHeight="1" x14ac:dyDescent="0.2">
      <c r="D156" s="303" t="s">
        <v>228</v>
      </c>
    </row>
    <row r="157" spans="3:4" ht="12" customHeight="1" x14ac:dyDescent="0.2">
      <c r="D157" s="303" t="s">
        <v>229</v>
      </c>
    </row>
    <row r="158" spans="3:4" ht="12" customHeight="1" x14ac:dyDescent="0.2">
      <c r="D158" s="303" t="s">
        <v>230</v>
      </c>
    </row>
    <row r="160" spans="3:4" ht="12" customHeight="1" x14ac:dyDescent="0.2">
      <c r="C160" s="305" t="s">
        <v>188</v>
      </c>
    </row>
    <row r="161" spans="3:9" ht="12" customHeight="1" x14ac:dyDescent="0.2">
      <c r="C161" s="305" t="s">
        <v>212</v>
      </c>
    </row>
    <row r="163" spans="3:9" ht="12" customHeight="1" x14ac:dyDescent="0.2">
      <c r="C163" s="303" t="s">
        <v>190</v>
      </c>
      <c r="D163" s="303" t="s">
        <v>191</v>
      </c>
    </row>
    <row r="164" spans="3:9" ht="12" customHeight="1" x14ac:dyDescent="0.2">
      <c r="C164" s="303" t="s">
        <v>192</v>
      </c>
      <c r="D164" s="308" t="s">
        <v>70</v>
      </c>
      <c r="E164" s="308" t="s">
        <v>70</v>
      </c>
      <c r="F164" s="308" t="s">
        <v>70</v>
      </c>
      <c r="G164" s="308" t="s">
        <v>70</v>
      </c>
      <c r="H164" s="308" t="s">
        <v>70</v>
      </c>
      <c r="I164" s="308" t="s">
        <v>70</v>
      </c>
    </row>
    <row r="165" spans="3:9" ht="12" customHeight="1" x14ac:dyDescent="0.2">
      <c r="C165" s="303" t="s">
        <v>231</v>
      </c>
      <c r="D165" s="303" t="s">
        <v>232</v>
      </c>
    </row>
    <row r="166" spans="3:9" ht="12" customHeight="1" x14ac:dyDescent="0.2">
      <c r="C166" s="303" t="s">
        <v>233</v>
      </c>
      <c r="D166" s="305" t="s">
        <v>234</v>
      </c>
    </row>
    <row r="167" spans="3:9" ht="12" customHeight="1" x14ac:dyDescent="0.2">
      <c r="D167" s="303" t="s">
        <v>235</v>
      </c>
    </row>
    <row r="169" spans="3:9" ht="12" customHeight="1" x14ac:dyDescent="0.2">
      <c r="C169" s="305" t="s">
        <v>188</v>
      </c>
    </row>
    <row r="181" spans="3:9" ht="12" customHeight="1" x14ac:dyDescent="0.2">
      <c r="C181" s="303" t="s">
        <v>236</v>
      </c>
    </row>
    <row r="182" spans="3:9" ht="12" customHeight="1" x14ac:dyDescent="0.2">
      <c r="C182" s="303" t="s">
        <v>55</v>
      </c>
    </row>
    <row r="183" spans="3:9" ht="12" customHeight="1" x14ac:dyDescent="0.2">
      <c r="C183" s="303" t="s">
        <v>190</v>
      </c>
      <c r="D183" s="303" t="s">
        <v>191</v>
      </c>
    </row>
    <row r="184" spans="3:9" ht="12" customHeight="1" x14ac:dyDescent="0.2">
      <c r="C184" s="303" t="s">
        <v>192</v>
      </c>
      <c r="D184" s="308" t="s">
        <v>70</v>
      </c>
      <c r="E184" s="308" t="s">
        <v>70</v>
      </c>
      <c r="F184" s="308" t="s">
        <v>70</v>
      </c>
      <c r="G184" s="308" t="s">
        <v>70</v>
      </c>
      <c r="H184" s="308" t="s">
        <v>70</v>
      </c>
      <c r="I184" s="308" t="s">
        <v>70</v>
      </c>
    </row>
    <row r="185" spans="3:9" ht="12" customHeight="1" x14ac:dyDescent="0.2">
      <c r="C185" s="303" t="s">
        <v>237</v>
      </c>
      <c r="D185" s="303" t="s">
        <v>238</v>
      </c>
    </row>
    <row r="186" spans="3:9" ht="12" customHeight="1" x14ac:dyDescent="0.2">
      <c r="C186" s="303" t="s">
        <v>239</v>
      </c>
      <c r="D186" s="303" t="s">
        <v>240</v>
      </c>
    </row>
    <row r="190" spans="3:9" ht="12" customHeight="1" x14ac:dyDescent="0.2">
      <c r="C190" s="303" t="s">
        <v>241</v>
      </c>
      <c r="D190" s="310"/>
    </row>
    <row r="192" spans="3:9" ht="12" customHeight="1" x14ac:dyDescent="0.2">
      <c r="C192" s="303" t="s">
        <v>242</v>
      </c>
      <c r="D192" s="303" t="s">
        <v>191</v>
      </c>
    </row>
    <row r="193" spans="3:9" ht="12" customHeight="1" x14ac:dyDescent="0.2">
      <c r="C193" s="303" t="s">
        <v>243</v>
      </c>
      <c r="D193" s="308" t="s">
        <v>70</v>
      </c>
      <c r="E193" s="308" t="s">
        <v>70</v>
      </c>
      <c r="F193" s="308" t="s">
        <v>70</v>
      </c>
      <c r="G193" s="308" t="s">
        <v>70</v>
      </c>
      <c r="H193" s="308" t="s">
        <v>70</v>
      </c>
      <c r="I193" s="308" t="s">
        <v>70</v>
      </c>
    </row>
    <row r="194" spans="3:9" ht="12" customHeight="1" x14ac:dyDescent="0.2">
      <c r="C194" s="303" t="s">
        <v>244</v>
      </c>
      <c r="D194" s="305" t="s">
        <v>245</v>
      </c>
    </row>
    <row r="195" spans="3:9" ht="12" customHeight="1" x14ac:dyDescent="0.2">
      <c r="C195" s="303" t="s">
        <v>246</v>
      </c>
      <c r="D195" s="305" t="s">
        <v>247</v>
      </c>
    </row>
    <row r="197" spans="3:9" ht="12" customHeight="1" x14ac:dyDescent="0.2">
      <c r="C197" s="305" t="s">
        <v>248</v>
      </c>
    </row>
    <row r="201" spans="3:9" ht="12" customHeight="1" x14ac:dyDescent="0.2">
      <c r="C201" s="303"/>
    </row>
    <row r="202" spans="3:9" ht="12" customHeight="1" x14ac:dyDescent="0.2">
      <c r="C202" s="303"/>
    </row>
    <row r="203" spans="3:9" ht="12" customHeight="1" x14ac:dyDescent="0.2">
      <c r="C203" s="303"/>
    </row>
    <row r="204" spans="3:9" ht="12" customHeight="1" x14ac:dyDescent="0.2">
      <c r="C204" s="303"/>
    </row>
    <row r="205" spans="3:9" ht="12" customHeight="1" x14ac:dyDescent="0.2">
      <c r="C205" s="303"/>
    </row>
    <row r="206" spans="3:9" ht="12" customHeight="1" x14ac:dyDescent="0.2">
      <c r="C206" s="303"/>
    </row>
    <row r="207" spans="3:9" ht="12" customHeight="1" x14ac:dyDescent="0.2">
      <c r="C207" s="303"/>
      <c r="F207" s="310"/>
    </row>
    <row r="208" spans="3:9" ht="12" customHeight="1" x14ac:dyDescent="0.2">
      <c r="C208" s="303"/>
    </row>
    <row r="209" spans="3:3" ht="12" customHeight="1" x14ac:dyDescent="0.2">
      <c r="C209" s="303"/>
    </row>
    <row r="210" spans="3:3" ht="12" customHeight="1" x14ac:dyDescent="0.2">
      <c r="C210" s="303"/>
    </row>
    <row r="211" spans="3:3" ht="12" customHeight="1" x14ac:dyDescent="0.2">
      <c r="C211" s="303"/>
    </row>
    <row r="212" spans="3:3" ht="12" customHeight="1" x14ac:dyDescent="0.2">
      <c r="C212" s="303"/>
    </row>
    <row r="213" spans="3:3" ht="12" customHeight="1" x14ac:dyDescent="0.2">
      <c r="C213" s="303"/>
    </row>
    <row r="214" spans="3:3" ht="12" customHeight="1" x14ac:dyDescent="0.2">
      <c r="C214" s="303"/>
    </row>
    <row r="215" spans="3:3" ht="12" customHeight="1" x14ac:dyDescent="0.2">
      <c r="C215" s="303"/>
    </row>
    <row r="216" spans="3:3" ht="12" customHeight="1" x14ac:dyDescent="0.2">
      <c r="C216" s="303"/>
    </row>
    <row r="217" spans="3:3" ht="12" customHeight="1" x14ac:dyDescent="0.2">
      <c r="C217" s="303"/>
    </row>
    <row r="218" spans="3:3" ht="12" customHeight="1" x14ac:dyDescent="0.2">
      <c r="C218" s="303"/>
    </row>
    <row r="219" spans="3:3" ht="12" customHeight="1" x14ac:dyDescent="0.2">
      <c r="C219" s="303"/>
    </row>
    <row r="220" spans="3:3" ht="12" customHeight="1" x14ac:dyDescent="0.2">
      <c r="C220" s="303"/>
    </row>
    <row r="230" spans="3:12" ht="12" customHeight="1" x14ac:dyDescent="0.2">
      <c r="C230" s="303" t="s">
        <v>249</v>
      </c>
    </row>
    <row r="231" spans="3:12" ht="12" customHeight="1" x14ac:dyDescent="0.2">
      <c r="C231" s="308" t="s">
        <v>70</v>
      </c>
      <c r="D231" s="308" t="s">
        <v>70</v>
      </c>
      <c r="E231" s="308" t="s">
        <v>70</v>
      </c>
      <c r="F231" s="308" t="s">
        <v>70</v>
      </c>
      <c r="G231" s="308" t="s">
        <v>70</v>
      </c>
      <c r="H231" s="308" t="s">
        <v>70</v>
      </c>
      <c r="I231" s="308" t="s">
        <v>70</v>
      </c>
      <c r="J231" s="308" t="s">
        <v>70</v>
      </c>
      <c r="K231" s="308" t="s">
        <v>70</v>
      </c>
      <c r="L231" s="308" t="s">
        <v>70</v>
      </c>
    </row>
    <row r="232" spans="3:12" ht="12" customHeight="1" x14ac:dyDescent="0.2">
      <c r="C232" s="303" t="s">
        <v>250</v>
      </c>
    </row>
    <row r="233" spans="3:12" ht="12" customHeight="1" x14ac:dyDescent="0.2">
      <c r="C233" s="308" t="s">
        <v>70</v>
      </c>
      <c r="D233" s="308" t="s">
        <v>70</v>
      </c>
      <c r="E233" s="308" t="s">
        <v>70</v>
      </c>
      <c r="F233" s="308" t="s">
        <v>70</v>
      </c>
      <c r="G233" s="308" t="s">
        <v>70</v>
      </c>
    </row>
    <row r="234" spans="3:12" ht="12" customHeight="1" x14ac:dyDescent="0.2">
      <c r="D234" s="303" t="s">
        <v>251</v>
      </c>
    </row>
    <row r="235" spans="3:12" ht="12" customHeight="1" x14ac:dyDescent="0.2">
      <c r="C235" s="303" t="s">
        <v>156</v>
      </c>
      <c r="D235" s="303" t="s">
        <v>252</v>
      </c>
      <c r="E235" s="309" t="s">
        <v>156</v>
      </c>
    </row>
    <row r="236" spans="3:12" ht="12" customHeight="1" x14ac:dyDescent="0.2">
      <c r="C236" s="308" t="s">
        <v>70</v>
      </c>
      <c r="D236" s="308" t="s">
        <v>70</v>
      </c>
      <c r="E236" s="308" t="s">
        <v>70</v>
      </c>
      <c r="F236" s="308" t="s">
        <v>70</v>
      </c>
      <c r="G236" s="308" t="s">
        <v>70</v>
      </c>
    </row>
    <row r="237" spans="3:12" ht="12" customHeight="1" x14ac:dyDescent="0.2">
      <c r="C237" s="304">
        <v>65</v>
      </c>
      <c r="D237" s="304" t="e">
        <f>IF(#REF!&gt;0,0,IF(AND(#REF!&gt;0,#REF!=0),1,2))</f>
        <v>#REF!</v>
      </c>
      <c r="E237" s="304">
        <v>65</v>
      </c>
    </row>
    <row r="238" spans="3:12" ht="12" customHeight="1" x14ac:dyDescent="0.2">
      <c r="C238" s="304">
        <v>70</v>
      </c>
      <c r="D238" s="304" t="e">
        <f>IF(#REF!&gt;0,0,IF(AND(#REF!&gt;0,#REF!=0),1,2))</f>
        <v>#REF!</v>
      </c>
      <c r="E238" s="304">
        <v>70</v>
      </c>
    </row>
    <row r="239" spans="3:12" ht="12" customHeight="1" x14ac:dyDescent="0.2">
      <c r="C239" s="304">
        <v>75</v>
      </c>
      <c r="D239" s="304" t="e">
        <f>IF(#REF!&gt;0,0,IF(AND(#REF!&gt;0,#REF!=0),1,2))</f>
        <v>#REF!</v>
      </c>
      <c r="E239" s="304">
        <v>75</v>
      </c>
    </row>
    <row r="240" spans="3:12" ht="12" customHeight="1" x14ac:dyDescent="0.2">
      <c r="C240" s="304">
        <v>80</v>
      </c>
      <c r="D240" s="304" t="e">
        <f>IF(#REF!&gt;0,0,IF(AND(#REF!&gt;0,#REF!=0),1,2))</f>
        <v>#REF!</v>
      </c>
      <c r="E240" s="304">
        <v>80</v>
      </c>
    </row>
    <row r="241" spans="3:11" ht="12" customHeight="1" x14ac:dyDescent="0.2">
      <c r="C241" s="304">
        <v>85</v>
      </c>
      <c r="D241" s="304" t="e">
        <f>IF(#REF!&gt;0,0,IF(AND(#REF!&gt;0,#REF!=0),1,2))</f>
        <v>#REF!</v>
      </c>
      <c r="E241" s="304">
        <v>85</v>
      </c>
    </row>
    <row r="242" spans="3:11" ht="12" customHeight="1" x14ac:dyDescent="0.2">
      <c r="C242" s="304">
        <v>90</v>
      </c>
      <c r="D242" s="304" t="e">
        <f>IF(#REF!&gt;0,0,IF(AND(#REF!&gt;0,#REF!=0),1,2))</f>
        <v>#REF!</v>
      </c>
      <c r="E242" s="304">
        <v>90</v>
      </c>
    </row>
    <row r="243" spans="3:11" ht="12" customHeight="1" x14ac:dyDescent="0.2">
      <c r="C243" s="304">
        <v>95</v>
      </c>
      <c r="D243" s="304" t="e">
        <f>IF(#REF!&gt;0,0,IF(AND(#REF!&gt;0,#REF!=0),1,2))</f>
        <v>#REF!</v>
      </c>
      <c r="E243" s="304">
        <v>95</v>
      </c>
    </row>
    <row r="244" spans="3:11" ht="12" customHeight="1" x14ac:dyDescent="0.2">
      <c r="C244" s="304">
        <v>100</v>
      </c>
      <c r="D244" s="304" t="e">
        <f>IF(#REF!&gt;0,1,2)</f>
        <v>#REF!</v>
      </c>
      <c r="E244" s="304">
        <v>100</v>
      </c>
    </row>
    <row r="245" spans="3:11" ht="12" customHeight="1" x14ac:dyDescent="0.2">
      <c r="C245" s="308" t="s">
        <v>70</v>
      </c>
      <c r="D245" s="308" t="s">
        <v>70</v>
      </c>
      <c r="E245" s="308" t="s">
        <v>70</v>
      </c>
      <c r="F245" s="308" t="s">
        <v>70</v>
      </c>
      <c r="G245" s="308" t="s">
        <v>70</v>
      </c>
    </row>
    <row r="247" spans="3:11" ht="12" customHeight="1" x14ac:dyDescent="0.2">
      <c r="C247" s="303" t="s">
        <v>253</v>
      </c>
      <c r="G247" s="304" t="e">
        <f>1+#REF!</f>
        <v>#REF!</v>
      </c>
    </row>
    <row r="250" spans="3:11" ht="12" customHeight="1" x14ac:dyDescent="0.2">
      <c r="C250" s="303" t="s">
        <v>254</v>
      </c>
    </row>
    <row r="251" spans="3:11" ht="12" customHeight="1" x14ac:dyDescent="0.2">
      <c r="C251" s="308" t="s">
        <v>70</v>
      </c>
      <c r="D251" s="308" t="s">
        <v>70</v>
      </c>
      <c r="E251" s="308" t="s">
        <v>70</v>
      </c>
      <c r="F251" s="308" t="s">
        <v>70</v>
      </c>
      <c r="G251" s="308" t="s">
        <v>70</v>
      </c>
      <c r="H251" s="308" t="s">
        <v>70</v>
      </c>
      <c r="I251" s="308" t="s">
        <v>70</v>
      </c>
      <c r="J251" s="308" t="s">
        <v>70</v>
      </c>
      <c r="K251" s="308" t="s">
        <v>70</v>
      </c>
    </row>
    <row r="252" spans="3:11" ht="12" customHeight="1" x14ac:dyDescent="0.2">
      <c r="F252" s="303" t="s">
        <v>255</v>
      </c>
      <c r="I252" s="303" t="s">
        <v>256</v>
      </c>
    </row>
    <row r="253" spans="3:11" ht="12" customHeight="1" x14ac:dyDescent="0.2">
      <c r="C253" s="303" t="s">
        <v>257</v>
      </c>
      <c r="F253" s="309" t="s">
        <v>258</v>
      </c>
      <c r="I253" s="309" t="s">
        <v>258</v>
      </c>
    </row>
    <row r="254" spans="3:11" ht="12" customHeight="1" x14ac:dyDescent="0.2">
      <c r="C254" s="303" t="s">
        <v>259</v>
      </c>
      <c r="F254" s="304">
        <v>1</v>
      </c>
      <c r="G254" s="304">
        <v>2</v>
      </c>
      <c r="H254" s="304">
        <v>3</v>
      </c>
      <c r="I254" s="304">
        <v>1</v>
      </c>
      <c r="J254" s="304">
        <v>2</v>
      </c>
      <c r="K254" s="304">
        <v>3</v>
      </c>
    </row>
    <row r="255" spans="3:11" ht="12" customHeight="1" x14ac:dyDescent="0.2">
      <c r="C255" s="308" t="s">
        <v>70</v>
      </c>
      <c r="D255" s="308" t="s">
        <v>70</v>
      </c>
      <c r="E255" s="308" t="s">
        <v>70</v>
      </c>
      <c r="F255" s="308" t="s">
        <v>70</v>
      </c>
      <c r="G255" s="308" t="s">
        <v>70</v>
      </c>
      <c r="H255" s="308" t="s">
        <v>70</v>
      </c>
      <c r="I255" s="308" t="s">
        <v>70</v>
      </c>
      <c r="J255" s="308" t="s">
        <v>70</v>
      </c>
      <c r="K255" s="308" t="s">
        <v>70</v>
      </c>
    </row>
    <row r="256" spans="3:11" ht="12" customHeight="1" x14ac:dyDescent="0.2">
      <c r="C256" s="303" t="s">
        <v>260</v>
      </c>
    </row>
    <row r="257" spans="3:11" ht="12" customHeight="1" x14ac:dyDescent="0.2">
      <c r="C257" s="303" t="s">
        <v>261</v>
      </c>
    </row>
    <row r="258" spans="3:11" ht="12" customHeight="1" x14ac:dyDescent="0.2">
      <c r="C258" s="309" t="s">
        <v>262</v>
      </c>
      <c r="F258" s="304">
        <v>0.33</v>
      </c>
      <c r="G258" s="304">
        <v>0.35</v>
      </c>
      <c r="H258" s="311" t="e">
        <f>(F258*#REF!+G258)/$G$247</f>
        <v>#REF!</v>
      </c>
      <c r="I258" s="312">
        <v>1.3520000000000001</v>
      </c>
      <c r="J258" s="312">
        <v>1.361</v>
      </c>
      <c r="K258" s="311" t="e">
        <f>(I258*#REF!+J258)/$G$247</f>
        <v>#REF!</v>
      </c>
    </row>
    <row r="259" spans="3:11" ht="12" customHeight="1" x14ac:dyDescent="0.2">
      <c r="C259" s="309" t="s">
        <v>263</v>
      </c>
      <c r="F259" s="304">
        <v>0.33</v>
      </c>
      <c r="G259" s="304">
        <v>0.35</v>
      </c>
      <c r="H259" s="311" t="e">
        <f>(F259*#REF!+G259)/$G$247</f>
        <v>#REF!</v>
      </c>
      <c r="I259" s="312">
        <v>1.5580000000000001</v>
      </c>
      <c r="J259" s="312">
        <v>1.57</v>
      </c>
      <c r="K259" s="311" t="e">
        <f>(I259*#REF!+J259)/$G$247</f>
        <v>#REF!</v>
      </c>
    </row>
    <row r="260" spans="3:11" ht="12" customHeight="1" x14ac:dyDescent="0.2">
      <c r="C260" s="309" t="s">
        <v>264</v>
      </c>
      <c r="F260" s="304">
        <v>0.28999999999999998</v>
      </c>
      <c r="G260" s="304">
        <v>0.31</v>
      </c>
      <c r="H260" s="311" t="e">
        <f>(F260*#REF!+G260)/$G$247</f>
        <v>#REF!</v>
      </c>
      <c r="I260" s="312">
        <v>1.3129999999999999</v>
      </c>
      <c r="J260" s="312">
        <v>1.3240000000000001</v>
      </c>
      <c r="K260" s="311" t="e">
        <f>(I260*#REF!+J260)/$G$247</f>
        <v>#REF!</v>
      </c>
    </row>
    <row r="261" spans="3:11" ht="12" customHeight="1" x14ac:dyDescent="0.2">
      <c r="C261" s="309" t="s">
        <v>265</v>
      </c>
      <c r="F261" s="304">
        <v>0.33</v>
      </c>
      <c r="G261" s="304">
        <v>0.35</v>
      </c>
      <c r="H261" s="311" t="e">
        <f>(F261*#REF!+G261)/$G$247</f>
        <v>#REF!</v>
      </c>
      <c r="I261" s="312">
        <v>1.24</v>
      </c>
      <c r="J261" s="312">
        <v>1.2390000000000001</v>
      </c>
      <c r="K261" s="311" t="e">
        <f>(I261*#REF!+J261)/$G$247</f>
        <v>#REF!</v>
      </c>
    </row>
    <row r="263" spans="3:11" ht="12" customHeight="1" x14ac:dyDescent="0.2">
      <c r="C263" s="303" t="s">
        <v>266</v>
      </c>
    </row>
    <row r="264" spans="3:11" ht="12" customHeight="1" x14ac:dyDescent="0.2">
      <c r="C264" s="303" t="s">
        <v>267</v>
      </c>
      <c r="H264" s="311"/>
      <c r="K264" s="311"/>
    </row>
    <row r="265" spans="3:11" ht="12" customHeight="1" x14ac:dyDescent="0.2">
      <c r="C265" s="309" t="s">
        <v>262</v>
      </c>
      <c r="F265" s="304">
        <v>4.2500000000000003E-2</v>
      </c>
      <c r="G265" s="304">
        <v>0.05</v>
      </c>
      <c r="H265" s="311" t="e">
        <f>(F265*#REF!+G265)/$G$247</f>
        <v>#REF!</v>
      </c>
      <c r="I265" s="304">
        <v>1.653</v>
      </c>
      <c r="J265" s="304">
        <v>1.524</v>
      </c>
      <c r="K265" s="311" t="e">
        <f>(I265*#REF!+J265)/$G$247</f>
        <v>#REF!</v>
      </c>
    </row>
    <row r="266" spans="3:11" ht="12" customHeight="1" x14ac:dyDescent="0.2">
      <c r="C266" s="309" t="s">
        <v>263</v>
      </c>
      <c r="F266" s="304">
        <v>4.2500000000000003E-2</v>
      </c>
      <c r="G266" s="304">
        <v>0.05</v>
      </c>
      <c r="H266" s="311" t="e">
        <f>(F266*#REF!+G266)/$G$247</f>
        <v>#REF!</v>
      </c>
      <c r="I266" s="304">
        <v>1.859</v>
      </c>
      <c r="J266" s="304">
        <v>1.7330000000000001</v>
      </c>
      <c r="K266" s="311" t="e">
        <f>(I266*#REF!+J266)/$G$247</f>
        <v>#REF!</v>
      </c>
    </row>
    <row r="267" spans="3:11" ht="12" customHeight="1" x14ac:dyDescent="0.2">
      <c r="C267" s="309" t="s">
        <v>264</v>
      </c>
      <c r="F267" s="304">
        <v>2.5000000000000001E-3</v>
      </c>
      <c r="G267" s="304">
        <v>0.01</v>
      </c>
      <c r="H267" s="311" t="e">
        <f>(F267*#REF!+G267)/$G$247</f>
        <v>#REF!</v>
      </c>
      <c r="I267" s="304">
        <v>1.6140000000000001</v>
      </c>
      <c r="J267" s="304">
        <v>1.4870000000000001</v>
      </c>
      <c r="K267" s="311" t="e">
        <f>(I267*#REF!+J267)/$G$247</f>
        <v>#REF!</v>
      </c>
    </row>
    <row r="268" spans="3:11" ht="12" customHeight="1" x14ac:dyDescent="0.2">
      <c r="C268" s="309" t="s">
        <v>265</v>
      </c>
      <c r="F268" s="304">
        <v>4.2500000000000003E-2</v>
      </c>
      <c r="G268" s="304">
        <v>0.05</v>
      </c>
      <c r="H268" s="311" t="e">
        <f>(F268*#REF!+G268)/$G$247</f>
        <v>#REF!</v>
      </c>
      <c r="I268" s="304">
        <v>1.5409999999999999</v>
      </c>
      <c r="J268" s="304">
        <v>1.4019999999999999</v>
      </c>
      <c r="K268" s="311" t="e">
        <f>(I268*#REF!+J268)/$G$247</f>
        <v>#REF!</v>
      </c>
    </row>
    <row r="270" spans="3:11" ht="12" customHeight="1" x14ac:dyDescent="0.2">
      <c r="C270" s="303" t="s">
        <v>268</v>
      </c>
      <c r="F270" s="304">
        <v>2.875</v>
      </c>
      <c r="G270" s="312">
        <v>3</v>
      </c>
      <c r="H270" s="311" t="e">
        <f>(F270*#REF!+G270)/$G$247</f>
        <v>#REF!</v>
      </c>
      <c r="I270" s="304">
        <v>3.0129999999999999</v>
      </c>
      <c r="J270" s="304">
        <v>1.627</v>
      </c>
      <c r="K270" s="311" t="e">
        <f>(I270*#REF!+J270)/$G$247</f>
        <v>#REF!</v>
      </c>
    </row>
    <row r="271" spans="3:11" ht="12" customHeight="1" x14ac:dyDescent="0.2">
      <c r="C271" s="308" t="s">
        <v>70</v>
      </c>
      <c r="D271" s="308" t="s">
        <v>70</v>
      </c>
      <c r="E271" s="308" t="s">
        <v>70</v>
      </c>
      <c r="F271" s="308" t="s">
        <v>70</v>
      </c>
      <c r="G271" s="308" t="s">
        <v>70</v>
      </c>
      <c r="H271" s="308" t="s">
        <v>70</v>
      </c>
      <c r="I271" s="308" t="s">
        <v>70</v>
      </c>
      <c r="J271" s="308" t="s">
        <v>70</v>
      </c>
      <c r="K271" s="308" t="s">
        <v>70</v>
      </c>
    </row>
    <row r="273" spans="3:8" ht="12" customHeight="1" x14ac:dyDescent="0.2">
      <c r="C273" s="303" t="s">
        <v>269</v>
      </c>
      <c r="F273" s="304" t="e">
        <f>#REF!/#REF!</f>
        <v>#REF!</v>
      </c>
    </row>
    <row r="275" spans="3:8" ht="12" customHeight="1" x14ac:dyDescent="0.2">
      <c r="C275" s="303" t="s">
        <v>270</v>
      </c>
    </row>
    <row r="276" spans="3:8" ht="12" customHeight="1" x14ac:dyDescent="0.2">
      <c r="C276" s="308" t="s">
        <v>70</v>
      </c>
      <c r="D276" s="308" t="s">
        <v>70</v>
      </c>
      <c r="E276" s="308" t="s">
        <v>70</v>
      </c>
      <c r="F276" s="308" t="s">
        <v>70</v>
      </c>
      <c r="G276" s="308" t="s">
        <v>70</v>
      </c>
      <c r="H276" s="308" t="s">
        <v>70</v>
      </c>
    </row>
    <row r="277" spans="3:8" ht="12" customHeight="1" x14ac:dyDescent="0.2">
      <c r="F277" s="309" t="s">
        <v>154</v>
      </c>
      <c r="H277" s="309" t="s">
        <v>155</v>
      </c>
    </row>
    <row r="278" spans="3:8" ht="12" customHeight="1" x14ac:dyDescent="0.2">
      <c r="C278" s="308" t="s">
        <v>70</v>
      </c>
      <c r="D278" s="308" t="s">
        <v>70</v>
      </c>
      <c r="E278" s="308" t="s">
        <v>70</v>
      </c>
      <c r="F278" s="308" t="s">
        <v>70</v>
      </c>
      <c r="G278" s="308" t="s">
        <v>70</v>
      </c>
      <c r="H278" s="308" t="s">
        <v>70</v>
      </c>
    </row>
    <row r="279" spans="3:8" ht="12" customHeight="1" x14ac:dyDescent="0.2">
      <c r="C279" s="303" t="s">
        <v>260</v>
      </c>
    </row>
    <row r="280" spans="3:8" ht="12" customHeight="1" x14ac:dyDescent="0.2">
      <c r="C280" s="303" t="s">
        <v>271</v>
      </c>
      <c r="F280" s="311" t="e">
        <f>HLOOKUP(#REF!,F254:H261,#REF!+3+1)</f>
        <v>#REF!</v>
      </c>
      <c r="H280" s="311" t="e">
        <f>HLOOKUP(#REF!,I254:J261,#REF!+3+1)</f>
        <v>#REF!</v>
      </c>
    </row>
    <row r="281" spans="3:8" ht="12" customHeight="1" x14ac:dyDescent="0.2">
      <c r="C281" s="303" t="s">
        <v>272</v>
      </c>
      <c r="F281" s="313" t="e">
        <f>IF(#REF!&gt;0,#REF!,F273/(1+(1-F280)*F273))</f>
        <v>#REF!</v>
      </c>
      <c r="H281" s="311"/>
    </row>
    <row r="284" spans="3:8" ht="12" customHeight="1" x14ac:dyDescent="0.2">
      <c r="C284" s="303" t="s">
        <v>266</v>
      </c>
    </row>
    <row r="285" spans="3:8" ht="12" customHeight="1" x14ac:dyDescent="0.2">
      <c r="C285" s="303" t="s">
        <v>273</v>
      </c>
    </row>
    <row r="286" spans="3:8" ht="12" customHeight="1" x14ac:dyDescent="0.2">
      <c r="C286" s="303" t="s">
        <v>274</v>
      </c>
      <c r="F286" s="311" t="e">
        <f>HLOOKUP(#REF!,F254:H268,#REF!+10+1)</f>
        <v>#REF!</v>
      </c>
      <c r="H286" s="311" t="e">
        <f>HLOOKUP(#REF!,I254:K270,#REF!+10+1)</f>
        <v>#REF!</v>
      </c>
    </row>
    <row r="287" spans="3:8" ht="12" customHeight="1" x14ac:dyDescent="0.2">
      <c r="C287" s="303" t="s">
        <v>275</v>
      </c>
      <c r="F287" s="311" t="e">
        <f>HLOOKUP(#REF!,F254:H270,17)</f>
        <v>#REF!</v>
      </c>
      <c r="H287" s="311" t="e">
        <f>HLOOKUP(#REF!,I254:K270,17)</f>
        <v>#REF!</v>
      </c>
    </row>
    <row r="288" spans="3:8" ht="12" customHeight="1" x14ac:dyDescent="0.2">
      <c r="C288" s="303" t="s">
        <v>276</v>
      </c>
      <c r="F288" s="311" t="e">
        <f>F273*F287</f>
        <v>#REF!</v>
      </c>
      <c r="H288" s="311"/>
    </row>
    <row r="289" spans="3:11" ht="12" customHeight="1" x14ac:dyDescent="0.2">
      <c r="C289" s="303" t="s">
        <v>277</v>
      </c>
      <c r="F289" s="311" t="e">
        <f>1+F273*(1-F286)</f>
        <v>#REF!</v>
      </c>
    </row>
    <row r="290" spans="3:11" ht="12" customHeight="1" x14ac:dyDescent="0.2">
      <c r="C290" s="303" t="s">
        <v>278</v>
      </c>
    </row>
    <row r="291" spans="3:11" ht="12" customHeight="1" x14ac:dyDescent="0.2">
      <c r="C291" s="309" t="s">
        <v>279</v>
      </c>
      <c r="F291" s="313" t="e">
        <f>IF(#REF!&gt;0,#REF!,(F289-SQRT(F289^2-4*F288*F273))/(2*F288))</f>
        <v>#REF!</v>
      </c>
      <c r="H291" s="311"/>
    </row>
    <row r="292" spans="3:11" ht="12" customHeight="1" x14ac:dyDescent="0.2">
      <c r="C292" s="309" t="s">
        <v>280</v>
      </c>
      <c r="F292" s="311" t="e">
        <f>F286+F287*F291</f>
        <v>#REF!</v>
      </c>
      <c r="H292" s="311" t="e">
        <f>H286-H287*G9</f>
        <v>#REF!</v>
      </c>
    </row>
    <row r="293" spans="3:11" ht="12" customHeight="1" x14ac:dyDescent="0.2">
      <c r="C293" s="308" t="s">
        <v>70</v>
      </c>
      <c r="D293" s="308" t="s">
        <v>70</v>
      </c>
      <c r="E293" s="308" t="s">
        <v>70</v>
      </c>
      <c r="F293" s="308" t="s">
        <v>70</v>
      </c>
      <c r="G293" s="308" t="s">
        <v>70</v>
      </c>
      <c r="H293" s="308" t="s">
        <v>70</v>
      </c>
      <c r="I293" s="308" t="s">
        <v>70</v>
      </c>
      <c r="J293" s="308" t="s">
        <v>70</v>
      </c>
    </row>
    <row r="296" spans="3:11" ht="12" customHeight="1" x14ac:dyDescent="0.2">
      <c r="E296" s="303" t="s">
        <v>281</v>
      </c>
      <c r="G296" s="304" t="e">
        <f>CHOOSE(#REF!,"  Male","  Female","  Both sexes")</f>
        <v>#REF!</v>
      </c>
    </row>
    <row r="297" spans="3:11" ht="12" customHeight="1" x14ac:dyDescent="0.2">
      <c r="D297" s="308" t="s">
        <v>70</v>
      </c>
      <c r="E297" s="308" t="s">
        <v>70</v>
      </c>
      <c r="F297" s="308" t="s">
        <v>70</v>
      </c>
      <c r="G297" s="308" t="s">
        <v>70</v>
      </c>
      <c r="H297" s="308" t="s">
        <v>70</v>
      </c>
      <c r="I297" s="308" t="s">
        <v>70</v>
      </c>
    </row>
    <row r="298" spans="3:11" ht="12" customHeight="1" x14ac:dyDescent="0.2">
      <c r="D298" s="303" t="s">
        <v>158</v>
      </c>
      <c r="E298" s="309" t="s">
        <v>156</v>
      </c>
      <c r="H298" s="303" t="s">
        <v>282</v>
      </c>
      <c r="I298" s="303" t="s">
        <v>282</v>
      </c>
      <c r="J298" s="309" t="s">
        <v>283</v>
      </c>
      <c r="K298" s="309" t="s">
        <v>283</v>
      </c>
    </row>
    <row r="299" spans="3:11" ht="12" customHeight="1" x14ac:dyDescent="0.2">
      <c r="D299" s="303" t="s">
        <v>121</v>
      </c>
      <c r="E299" s="309" t="s">
        <v>284</v>
      </c>
      <c r="F299" s="309" t="s">
        <v>161</v>
      </c>
      <c r="G299" s="303" t="s">
        <v>163</v>
      </c>
      <c r="H299" s="303" t="s">
        <v>161</v>
      </c>
      <c r="I299" s="303" t="s">
        <v>163</v>
      </c>
      <c r="J299" s="309" t="s">
        <v>161</v>
      </c>
      <c r="K299" s="309" t="s">
        <v>163</v>
      </c>
    </row>
    <row r="300" spans="3:11" ht="12" customHeight="1" x14ac:dyDescent="0.2">
      <c r="D300" s="308" t="s">
        <v>70</v>
      </c>
      <c r="E300" s="308" t="s">
        <v>70</v>
      </c>
      <c r="F300" s="308" t="s">
        <v>70</v>
      </c>
      <c r="G300" s="308" t="s">
        <v>70</v>
      </c>
      <c r="H300" s="308" t="s">
        <v>70</v>
      </c>
      <c r="I300" s="308" t="s">
        <v>70</v>
      </c>
    </row>
    <row r="301" spans="3:11" ht="12" customHeight="1" x14ac:dyDescent="0.2">
      <c r="D301" s="304">
        <v>0</v>
      </c>
      <c r="E301" s="310">
        <v>0.5</v>
      </c>
      <c r="F301" s="310">
        <f t="shared" ref="F301:F314" si="19">E9</f>
        <v>4.2301904892801511E-3</v>
      </c>
      <c r="G301" s="310">
        <f t="shared" ref="G301:G314" si="20">G9</f>
        <v>4.2134831460674156E-3</v>
      </c>
      <c r="H301" s="310">
        <f t="shared" ref="H301:H314" si="21">E54</f>
        <v>4.2301904892801511E-3</v>
      </c>
      <c r="I301" s="310">
        <f t="shared" ref="I301:I314" si="22">G54</f>
        <v>4.2134831460674156E-3</v>
      </c>
      <c r="J301" s="304">
        <f t="shared" ref="J301:K314" si="23">MINA(F301,H301)</f>
        <v>4.2301904892801511E-3</v>
      </c>
      <c r="K301" s="304">
        <f t="shared" si="23"/>
        <v>4.2134831460674156E-3</v>
      </c>
    </row>
    <row r="302" spans="3:11" ht="12" customHeight="1" x14ac:dyDescent="0.2">
      <c r="D302" s="304">
        <v>1</v>
      </c>
      <c r="E302" s="310">
        <v>3</v>
      </c>
      <c r="F302" s="310">
        <f t="shared" si="19"/>
        <v>0</v>
      </c>
      <c r="G302" s="310">
        <f t="shared" si="20"/>
        <v>0</v>
      </c>
      <c r="H302" s="310" t="e">
        <f t="shared" si="21"/>
        <v>#REF!</v>
      </c>
      <c r="I302" s="310" t="e">
        <f t="shared" si="22"/>
        <v>#REF!</v>
      </c>
      <c r="J302" s="304" t="e">
        <f t="shared" si="23"/>
        <v>#REF!</v>
      </c>
      <c r="K302" s="304" t="e">
        <f t="shared" si="23"/>
        <v>#REF!</v>
      </c>
    </row>
    <row r="303" spans="3:11" ht="12" customHeight="1" x14ac:dyDescent="0.2">
      <c r="D303" s="304">
        <v>5</v>
      </c>
      <c r="E303" s="310">
        <f t="shared" ref="E303:E314" si="24">D303+F11</f>
        <v>7.5</v>
      </c>
      <c r="F303" s="310">
        <f t="shared" si="19"/>
        <v>0</v>
      </c>
      <c r="G303" s="310">
        <f t="shared" si="20"/>
        <v>0</v>
      </c>
      <c r="H303" s="310" t="e">
        <f t="shared" si="21"/>
        <v>#REF!</v>
      </c>
      <c r="I303" s="310" t="e">
        <f t="shared" si="22"/>
        <v>#REF!</v>
      </c>
      <c r="J303" s="304" t="e">
        <f t="shared" si="23"/>
        <v>#REF!</v>
      </c>
      <c r="K303" s="304" t="e">
        <f t="shared" si="23"/>
        <v>#REF!</v>
      </c>
    </row>
    <row r="304" spans="3:11" ht="12" customHeight="1" x14ac:dyDescent="0.2">
      <c r="D304" s="304">
        <v>10</v>
      </c>
      <c r="E304" s="310">
        <f t="shared" si="24"/>
        <v>12.5</v>
      </c>
      <c r="F304" s="310">
        <f t="shared" si="19"/>
        <v>0</v>
      </c>
      <c r="G304" s="310">
        <f t="shared" si="20"/>
        <v>0</v>
      </c>
      <c r="H304" s="310" t="e">
        <f t="shared" si="21"/>
        <v>#REF!</v>
      </c>
      <c r="I304" s="310" t="e">
        <f t="shared" si="22"/>
        <v>#REF!</v>
      </c>
      <c r="J304" s="304" t="e">
        <f t="shared" si="23"/>
        <v>#REF!</v>
      </c>
      <c r="K304" s="304" t="e">
        <f t="shared" si="23"/>
        <v>#REF!</v>
      </c>
    </row>
    <row r="305" spans="4:11" ht="12" customHeight="1" x14ac:dyDescent="0.2">
      <c r="D305" s="304">
        <v>15</v>
      </c>
      <c r="E305" s="310">
        <f t="shared" si="24"/>
        <v>17.5</v>
      </c>
      <c r="F305" s="310">
        <f t="shared" si="19"/>
        <v>0</v>
      </c>
      <c r="G305" s="310">
        <f t="shared" si="20"/>
        <v>0</v>
      </c>
      <c r="H305" s="310" t="e">
        <f t="shared" si="21"/>
        <v>#REF!</v>
      </c>
      <c r="I305" s="310" t="e">
        <f t="shared" si="22"/>
        <v>#REF!</v>
      </c>
      <c r="J305" s="304" t="e">
        <f t="shared" si="23"/>
        <v>#REF!</v>
      </c>
      <c r="K305" s="304" t="e">
        <f t="shared" si="23"/>
        <v>#REF!</v>
      </c>
    </row>
    <row r="306" spans="4:11" ht="12" customHeight="1" x14ac:dyDescent="0.2">
      <c r="D306" s="304">
        <v>20</v>
      </c>
      <c r="E306" s="310">
        <f t="shared" si="24"/>
        <v>22.5</v>
      </c>
      <c r="F306" s="310">
        <f t="shared" si="19"/>
        <v>1.5685873434378526E-3</v>
      </c>
      <c r="G306" s="310">
        <f t="shared" si="20"/>
        <v>7.8123010259083464E-3</v>
      </c>
      <c r="H306" s="310" t="e">
        <f t="shared" si="21"/>
        <v>#REF!</v>
      </c>
      <c r="I306" s="310" t="e">
        <f t="shared" si="22"/>
        <v>#REF!</v>
      </c>
      <c r="J306" s="304" t="e">
        <f t="shared" si="23"/>
        <v>#REF!</v>
      </c>
      <c r="K306" s="304" t="e">
        <f t="shared" si="23"/>
        <v>#REF!</v>
      </c>
    </row>
    <row r="307" spans="4:11" ht="12" customHeight="1" x14ac:dyDescent="0.2">
      <c r="D307" s="304">
        <v>25</v>
      </c>
      <c r="E307" s="310">
        <f t="shared" si="24"/>
        <v>27.5</v>
      </c>
      <c r="F307" s="310">
        <f t="shared" si="19"/>
        <v>6.4113042324385268E-4</v>
      </c>
      <c r="G307" s="310">
        <f t="shared" si="20"/>
        <v>3.2005222357801956E-3</v>
      </c>
      <c r="H307" s="310" t="e">
        <f t="shared" si="21"/>
        <v>#REF!</v>
      </c>
      <c r="I307" s="310" t="e">
        <f t="shared" si="22"/>
        <v>#REF!</v>
      </c>
      <c r="J307" s="304" t="e">
        <f t="shared" si="23"/>
        <v>#REF!</v>
      </c>
      <c r="K307" s="304" t="e">
        <f t="shared" si="23"/>
        <v>#REF!</v>
      </c>
    </row>
    <row r="308" spans="4:11" ht="12" customHeight="1" x14ac:dyDescent="0.2">
      <c r="D308" s="304">
        <v>30</v>
      </c>
      <c r="E308" s="310">
        <f t="shared" si="24"/>
        <v>32.5</v>
      </c>
      <c r="F308" s="310">
        <f t="shared" si="19"/>
        <v>2.2203326066480401E-4</v>
      </c>
      <c r="G308" s="310">
        <f t="shared" si="20"/>
        <v>1.1095504105851845E-3</v>
      </c>
      <c r="H308" s="310" t="e">
        <f t="shared" si="21"/>
        <v>#REF!</v>
      </c>
      <c r="I308" s="310" t="e">
        <f t="shared" si="22"/>
        <v>#REF!</v>
      </c>
      <c r="J308" s="304" t="e">
        <f t="shared" si="23"/>
        <v>#REF!</v>
      </c>
      <c r="K308" s="304" t="e">
        <f t="shared" si="23"/>
        <v>#REF!</v>
      </c>
    </row>
    <row r="309" spans="4:11" ht="12" customHeight="1" x14ac:dyDescent="0.2">
      <c r="D309" s="304">
        <v>35</v>
      </c>
      <c r="E309" s="310">
        <f t="shared" si="24"/>
        <v>37.5</v>
      </c>
      <c r="F309" s="310">
        <f t="shared" si="19"/>
        <v>8.2880888458089681E-4</v>
      </c>
      <c r="G309" s="310">
        <f t="shared" si="20"/>
        <v>4.1354756255534177E-3</v>
      </c>
      <c r="H309" s="310" t="e">
        <f t="shared" si="21"/>
        <v>#REF!</v>
      </c>
      <c r="I309" s="310" t="e">
        <f t="shared" si="22"/>
        <v>#REF!</v>
      </c>
      <c r="J309" s="304" t="e">
        <f t="shared" si="23"/>
        <v>#REF!</v>
      </c>
      <c r="K309" s="304" t="e">
        <f t="shared" si="23"/>
        <v>#REF!</v>
      </c>
    </row>
    <row r="310" spans="4:11" ht="12" customHeight="1" x14ac:dyDescent="0.2">
      <c r="D310" s="304">
        <v>40</v>
      </c>
      <c r="E310" s="310">
        <f t="shared" si="24"/>
        <v>42.5</v>
      </c>
      <c r="F310" s="310">
        <f t="shared" si="19"/>
        <v>1.1308283455460123E-3</v>
      </c>
      <c r="G310" s="310">
        <f t="shared" si="20"/>
        <v>5.6382021307616031E-3</v>
      </c>
      <c r="H310" s="310" t="e">
        <f t="shared" si="21"/>
        <v>#REF!</v>
      </c>
      <c r="I310" s="310" t="e">
        <f t="shared" si="22"/>
        <v>#REF!</v>
      </c>
      <c r="J310" s="304" t="e">
        <f t="shared" si="23"/>
        <v>#REF!</v>
      </c>
      <c r="K310" s="304" t="e">
        <f t="shared" si="23"/>
        <v>#REF!</v>
      </c>
    </row>
    <row r="311" spans="4:11" ht="12" customHeight="1" x14ac:dyDescent="0.2">
      <c r="D311" s="304">
        <v>45</v>
      </c>
      <c r="E311" s="310">
        <f t="shared" si="24"/>
        <v>47.5</v>
      </c>
      <c r="F311" s="310">
        <f t="shared" si="19"/>
        <v>9.003405437526292E-4</v>
      </c>
      <c r="G311" s="310">
        <f t="shared" si="20"/>
        <v>4.4915928109787659E-3</v>
      </c>
      <c r="H311" s="310" t="e">
        <f t="shared" si="21"/>
        <v>#REF!</v>
      </c>
      <c r="I311" s="310" t="e">
        <f t="shared" si="22"/>
        <v>#REF!</v>
      </c>
      <c r="J311" s="304" t="e">
        <f t="shared" si="23"/>
        <v>#REF!</v>
      </c>
      <c r="K311" s="304" t="e">
        <f t="shared" si="23"/>
        <v>#REF!</v>
      </c>
    </row>
    <row r="312" spans="4:11" ht="12" customHeight="1" x14ac:dyDescent="0.2">
      <c r="D312" s="304">
        <v>50</v>
      </c>
      <c r="E312" s="310">
        <f t="shared" si="24"/>
        <v>52.5</v>
      </c>
      <c r="F312" s="310">
        <f t="shared" si="19"/>
        <v>3.1865914590920932E-3</v>
      </c>
      <c r="G312" s="310">
        <f t="shared" si="20"/>
        <v>1.5807030921143168E-2</v>
      </c>
      <c r="H312" s="310" t="e">
        <f t="shared" si="21"/>
        <v>#REF!</v>
      </c>
      <c r="I312" s="310" t="e">
        <f t="shared" si="22"/>
        <v>#REF!</v>
      </c>
      <c r="J312" s="304" t="e">
        <f t="shared" si="23"/>
        <v>#REF!</v>
      </c>
      <c r="K312" s="304" t="e">
        <f t="shared" si="23"/>
        <v>#REF!</v>
      </c>
    </row>
    <row r="313" spans="4:11" ht="12" customHeight="1" x14ac:dyDescent="0.2">
      <c r="D313" s="304">
        <v>55</v>
      </c>
      <c r="E313" s="310">
        <f t="shared" si="24"/>
        <v>57.5</v>
      </c>
      <c r="F313" s="310">
        <f t="shared" si="19"/>
        <v>2.6476240881705658E-3</v>
      </c>
      <c r="G313" s="310">
        <f t="shared" si="20"/>
        <v>1.3151072698696949E-2</v>
      </c>
      <c r="H313" s="310" t="e">
        <f t="shared" si="21"/>
        <v>#REF!</v>
      </c>
      <c r="I313" s="310" t="e">
        <f t="shared" si="22"/>
        <v>#REF!</v>
      </c>
      <c r="J313" s="304" t="e">
        <f t="shared" si="23"/>
        <v>#REF!</v>
      </c>
      <c r="K313" s="304" t="e">
        <f t="shared" si="23"/>
        <v>#REF!</v>
      </c>
    </row>
    <row r="314" spans="4:11" ht="12" customHeight="1" x14ac:dyDescent="0.2">
      <c r="D314" s="304">
        <v>60</v>
      </c>
      <c r="E314" s="310">
        <f t="shared" si="24"/>
        <v>62.5</v>
      </c>
      <c r="F314" s="310">
        <f t="shared" si="19"/>
        <v>5.4025453567715931E-3</v>
      </c>
      <c r="G314" s="310">
        <f t="shared" si="20"/>
        <v>2.6652745122836472E-2</v>
      </c>
      <c r="H314" s="310" t="e">
        <f t="shared" si="21"/>
        <v>#REF!</v>
      </c>
      <c r="I314" s="310" t="e">
        <f t="shared" si="22"/>
        <v>#REF!</v>
      </c>
      <c r="J314" s="304" t="e">
        <f t="shared" si="23"/>
        <v>#REF!</v>
      </c>
      <c r="K314" s="304" t="e">
        <f t="shared" si="23"/>
        <v>#REF!</v>
      </c>
    </row>
    <row r="315" spans="4:11" ht="12" customHeight="1" x14ac:dyDescent="0.2">
      <c r="D315" s="304" t="e">
        <f t="shared" ref="D315:D322" si="25">IF(D237=2,NA0,C237)</f>
        <v>#REF!</v>
      </c>
      <c r="E315" s="310" t="e">
        <f t="shared" ref="E315:E322" si="26">IF(D237&lt;2,D315+F23,NA())</f>
        <v>#REF!</v>
      </c>
      <c r="F315" s="310" t="e">
        <f t="shared" ref="F315:F322" si="27">IF(D237&lt;2,E23,NA())</f>
        <v>#REF!</v>
      </c>
      <c r="G315" s="310" t="e">
        <f t="shared" ref="G315:G322" si="28">IF(D237=0,G23,NA())</f>
        <v>#REF!</v>
      </c>
      <c r="H315" s="310" t="e">
        <f t="shared" ref="H315:H322" si="29">IF(D237&lt;2,E68,NA())</f>
        <v>#REF!</v>
      </c>
      <c r="I315" s="310" t="e">
        <f t="shared" ref="I315:I322" si="30">IF(D237=0,G68,NA())</f>
        <v>#REF!</v>
      </c>
      <c r="J315" s="304" t="e">
        <f t="shared" ref="J315:K321" si="31">IF(ISNA(F315),J314,MINA(F315,H315))</f>
        <v>#REF!</v>
      </c>
      <c r="K315" s="304" t="e">
        <f t="shared" si="31"/>
        <v>#REF!</v>
      </c>
    </row>
    <row r="316" spans="4:11" ht="12" customHeight="1" x14ac:dyDescent="0.2">
      <c r="D316" s="304" t="e">
        <f t="shared" si="25"/>
        <v>#REF!</v>
      </c>
      <c r="E316" s="310" t="e">
        <f t="shared" si="26"/>
        <v>#REF!</v>
      </c>
      <c r="F316" s="310" t="e">
        <f t="shared" si="27"/>
        <v>#REF!</v>
      </c>
      <c r="G316" s="310" t="e">
        <f t="shared" si="28"/>
        <v>#REF!</v>
      </c>
      <c r="H316" s="310" t="e">
        <f t="shared" si="29"/>
        <v>#REF!</v>
      </c>
      <c r="I316" s="310" t="e">
        <f t="shared" si="30"/>
        <v>#REF!</v>
      </c>
      <c r="J316" s="304" t="e">
        <f t="shared" si="31"/>
        <v>#REF!</v>
      </c>
      <c r="K316" s="304" t="e">
        <f t="shared" si="31"/>
        <v>#REF!</v>
      </c>
    </row>
    <row r="317" spans="4:11" ht="12" customHeight="1" x14ac:dyDescent="0.2">
      <c r="D317" s="304" t="e">
        <f t="shared" si="25"/>
        <v>#REF!</v>
      </c>
      <c r="E317" s="310" t="e">
        <f t="shared" si="26"/>
        <v>#REF!</v>
      </c>
      <c r="F317" s="310" t="e">
        <f t="shared" si="27"/>
        <v>#REF!</v>
      </c>
      <c r="G317" s="310" t="e">
        <f t="shared" si="28"/>
        <v>#REF!</v>
      </c>
      <c r="H317" s="310" t="e">
        <f t="shared" si="29"/>
        <v>#REF!</v>
      </c>
      <c r="I317" s="310" t="e">
        <f t="shared" si="30"/>
        <v>#REF!</v>
      </c>
      <c r="J317" s="304" t="e">
        <f t="shared" si="31"/>
        <v>#REF!</v>
      </c>
      <c r="K317" s="304" t="e">
        <f t="shared" si="31"/>
        <v>#REF!</v>
      </c>
    </row>
    <row r="318" spans="4:11" ht="12" customHeight="1" x14ac:dyDescent="0.2">
      <c r="D318" s="304" t="e">
        <f t="shared" si="25"/>
        <v>#REF!</v>
      </c>
      <c r="E318" s="310" t="e">
        <f t="shared" si="26"/>
        <v>#REF!</v>
      </c>
      <c r="F318" s="310" t="e">
        <f t="shared" si="27"/>
        <v>#REF!</v>
      </c>
      <c r="G318" s="310" t="e">
        <f t="shared" si="28"/>
        <v>#REF!</v>
      </c>
      <c r="H318" s="310" t="e">
        <f t="shared" si="29"/>
        <v>#REF!</v>
      </c>
      <c r="I318" s="310" t="e">
        <f t="shared" si="30"/>
        <v>#REF!</v>
      </c>
      <c r="J318" s="304" t="e">
        <f t="shared" si="31"/>
        <v>#REF!</v>
      </c>
      <c r="K318" s="304" t="e">
        <f t="shared" si="31"/>
        <v>#REF!</v>
      </c>
    </row>
    <row r="319" spans="4:11" ht="12" customHeight="1" x14ac:dyDescent="0.2">
      <c r="D319" s="304" t="e">
        <f t="shared" si="25"/>
        <v>#REF!</v>
      </c>
      <c r="E319" s="310" t="e">
        <f t="shared" si="26"/>
        <v>#REF!</v>
      </c>
      <c r="F319" s="310" t="e">
        <f t="shared" si="27"/>
        <v>#REF!</v>
      </c>
      <c r="G319" s="310" t="e">
        <f t="shared" si="28"/>
        <v>#REF!</v>
      </c>
      <c r="H319" s="310" t="e">
        <f t="shared" si="29"/>
        <v>#REF!</v>
      </c>
      <c r="I319" s="310" t="e">
        <f t="shared" si="30"/>
        <v>#REF!</v>
      </c>
      <c r="J319" s="304" t="e">
        <f t="shared" si="31"/>
        <v>#REF!</v>
      </c>
      <c r="K319" s="304" t="e">
        <f t="shared" si="31"/>
        <v>#REF!</v>
      </c>
    </row>
    <row r="320" spans="4:11" ht="12" customHeight="1" x14ac:dyDescent="0.2">
      <c r="D320" s="304" t="e">
        <f t="shared" si="25"/>
        <v>#REF!</v>
      </c>
      <c r="E320" s="310" t="e">
        <f t="shared" si="26"/>
        <v>#REF!</v>
      </c>
      <c r="F320" s="310" t="e">
        <f t="shared" si="27"/>
        <v>#REF!</v>
      </c>
      <c r="G320" s="310" t="e">
        <f t="shared" si="28"/>
        <v>#REF!</v>
      </c>
      <c r="H320" s="310" t="e">
        <f t="shared" si="29"/>
        <v>#REF!</v>
      </c>
      <c r="I320" s="310" t="e">
        <f t="shared" si="30"/>
        <v>#REF!</v>
      </c>
      <c r="J320" s="304" t="e">
        <f t="shared" si="31"/>
        <v>#REF!</v>
      </c>
      <c r="K320" s="304" t="e">
        <f t="shared" si="31"/>
        <v>#REF!</v>
      </c>
    </row>
    <row r="321" spans="3:12" ht="12" customHeight="1" x14ac:dyDescent="0.2">
      <c r="D321" s="304" t="e">
        <f t="shared" si="25"/>
        <v>#REF!</v>
      </c>
      <c r="E321" s="310" t="e">
        <f t="shared" si="26"/>
        <v>#REF!</v>
      </c>
      <c r="F321" s="310" t="e">
        <f t="shared" si="27"/>
        <v>#REF!</v>
      </c>
      <c r="G321" s="310" t="e">
        <f t="shared" si="28"/>
        <v>#REF!</v>
      </c>
      <c r="H321" s="310" t="e">
        <f t="shared" si="29"/>
        <v>#REF!</v>
      </c>
      <c r="I321" s="310" t="e">
        <f t="shared" si="30"/>
        <v>#REF!</v>
      </c>
      <c r="J321" s="304" t="e">
        <f t="shared" si="31"/>
        <v>#REF!</v>
      </c>
      <c r="K321" s="304" t="e">
        <f t="shared" si="31"/>
        <v>#REF!</v>
      </c>
    </row>
    <row r="322" spans="3:12" ht="12" customHeight="1" x14ac:dyDescent="0.2">
      <c r="D322" s="304" t="e">
        <f t="shared" si="25"/>
        <v>#REF!</v>
      </c>
      <c r="E322" s="310" t="e">
        <f t="shared" si="26"/>
        <v>#REF!</v>
      </c>
      <c r="F322" s="310" t="e">
        <f t="shared" si="27"/>
        <v>#REF!</v>
      </c>
      <c r="G322" s="310" t="e">
        <f t="shared" si="28"/>
        <v>#REF!</v>
      </c>
      <c r="H322" s="310" t="e">
        <f t="shared" si="29"/>
        <v>#REF!</v>
      </c>
      <c r="I322" s="310" t="e">
        <f t="shared" si="30"/>
        <v>#REF!</v>
      </c>
      <c r="J322" s="304" t="e">
        <f>IF(ISNA(F322),J321,MINA(F322,H322))</f>
        <v>#REF!</v>
      </c>
    </row>
    <row r="323" spans="3:12" ht="12" customHeight="1" x14ac:dyDescent="0.2">
      <c r="D323" s="308" t="s">
        <v>70</v>
      </c>
      <c r="E323" s="308" t="s">
        <v>70</v>
      </c>
      <c r="F323" s="308" t="s">
        <v>70</v>
      </c>
      <c r="G323" s="308" t="s">
        <v>70</v>
      </c>
      <c r="H323" s="308" t="s">
        <v>70</v>
      </c>
      <c r="I323" s="308" t="s">
        <v>70</v>
      </c>
    </row>
    <row r="324" spans="3:12" ht="12" customHeight="1" x14ac:dyDescent="0.2">
      <c r="H324" s="277" t="s">
        <v>285</v>
      </c>
      <c r="J324" s="304" t="e">
        <f>MINA(J301:J322)</f>
        <v>#REF!</v>
      </c>
      <c r="K324" s="304" t="e">
        <f>MINA(K301:K321)</f>
        <v>#REF!</v>
      </c>
    </row>
    <row r="325" spans="3:12" ht="12" customHeight="1" x14ac:dyDescent="0.2">
      <c r="C325" s="303" t="s">
        <v>286</v>
      </c>
    </row>
    <row r="326" spans="3:12" ht="12" customHeight="1" x14ac:dyDescent="0.2">
      <c r="C326" s="308" t="s">
        <v>70</v>
      </c>
      <c r="D326" s="308" t="s">
        <v>70</v>
      </c>
      <c r="E326" s="308" t="s">
        <v>70</v>
      </c>
      <c r="F326" s="308" t="s">
        <v>70</v>
      </c>
      <c r="G326" s="308" t="s">
        <v>70</v>
      </c>
      <c r="H326" s="308" t="s">
        <v>70</v>
      </c>
      <c r="I326" s="308" t="s">
        <v>70</v>
      </c>
      <c r="J326" s="308" t="s">
        <v>70</v>
      </c>
    </row>
    <row r="327" spans="3:12" ht="12" customHeight="1" x14ac:dyDescent="0.2">
      <c r="J327" s="303" t="s">
        <v>287</v>
      </c>
    </row>
    <row r="328" spans="3:12" ht="12" customHeight="1" x14ac:dyDescent="0.2">
      <c r="J328" s="303" t="s">
        <v>161</v>
      </c>
    </row>
    <row r="329" spans="3:12" ht="12" customHeight="1" x14ac:dyDescent="0.2">
      <c r="H329" s="309" t="s">
        <v>282</v>
      </c>
      <c r="I329" s="303" t="s">
        <v>282</v>
      </c>
      <c r="J329" s="303" t="s">
        <v>288</v>
      </c>
    </row>
    <row r="330" spans="3:12" ht="12" customHeight="1" x14ac:dyDescent="0.2">
      <c r="C330" s="303" t="s">
        <v>156</v>
      </c>
      <c r="E330" s="309" t="s">
        <v>157</v>
      </c>
      <c r="F330" s="309" t="s">
        <v>46</v>
      </c>
      <c r="G330" s="309" t="s">
        <v>289</v>
      </c>
      <c r="H330" s="309" t="s">
        <v>289</v>
      </c>
      <c r="I330" s="303" t="s">
        <v>290</v>
      </c>
      <c r="J330" s="303" t="s">
        <v>291</v>
      </c>
    </row>
    <row r="331" spans="3:12" ht="12" customHeight="1" x14ac:dyDescent="0.2">
      <c r="C331" s="308" t="s">
        <v>70</v>
      </c>
      <c r="D331" s="308" t="s">
        <v>70</v>
      </c>
      <c r="E331" s="308" t="s">
        <v>70</v>
      </c>
      <c r="F331" s="308" t="s">
        <v>70</v>
      </c>
      <c r="G331" s="308" t="s">
        <v>70</v>
      </c>
      <c r="H331" s="308" t="s">
        <v>70</v>
      </c>
      <c r="I331" s="308" t="s">
        <v>70</v>
      </c>
      <c r="J331" s="308" t="s">
        <v>70</v>
      </c>
    </row>
    <row r="332" spans="3:12" ht="12" customHeight="1" x14ac:dyDescent="0.2">
      <c r="C332" s="304">
        <v>0</v>
      </c>
      <c r="E332" s="314" t="e">
        <f>#REF!</f>
        <v>#REF!</v>
      </c>
      <c r="F332" s="314" t="e">
        <f>#REF!</f>
        <v>#REF!</v>
      </c>
      <c r="G332" s="313" t="e">
        <f t="shared" ref="G332:G345" si="32">E332/F332</f>
        <v>#REF!</v>
      </c>
      <c r="H332" s="315" t="s">
        <v>292</v>
      </c>
      <c r="I332" s="314"/>
      <c r="J332" s="313" t="e">
        <f>G332</f>
        <v>#REF!</v>
      </c>
      <c r="K332" s="312"/>
      <c r="L332" s="312"/>
    </row>
    <row r="333" spans="3:12" ht="12" customHeight="1" x14ac:dyDescent="0.2">
      <c r="C333" s="304">
        <v>1</v>
      </c>
      <c r="E333" s="314" t="e">
        <f>#REF!</f>
        <v>#REF!</v>
      </c>
      <c r="F333" s="314" t="e">
        <f>#REF!</f>
        <v>#REF!</v>
      </c>
      <c r="G333" s="313" t="e">
        <f t="shared" si="32"/>
        <v>#REF!</v>
      </c>
      <c r="H333" s="315" t="s">
        <v>292</v>
      </c>
      <c r="I333" s="314"/>
      <c r="J333" s="313" t="e">
        <f>G333</f>
        <v>#REF!</v>
      </c>
      <c r="K333" s="312"/>
      <c r="L333" s="312"/>
    </row>
    <row r="334" spans="3:12" ht="12" customHeight="1" x14ac:dyDescent="0.2">
      <c r="C334" s="304">
        <v>5</v>
      </c>
      <c r="E334" s="314" t="e">
        <f>#REF!</f>
        <v>#REF!</v>
      </c>
      <c r="F334" s="314" t="e">
        <f>#REF!</f>
        <v>#REF!</v>
      </c>
      <c r="G334" s="313" t="e">
        <f t="shared" si="32"/>
        <v>#REF!</v>
      </c>
      <c r="H334" s="315" t="s">
        <v>292</v>
      </c>
      <c r="I334" s="314"/>
      <c r="J334" s="313" t="e">
        <f>G334</f>
        <v>#REF!</v>
      </c>
      <c r="K334" s="312"/>
      <c r="L334" s="312"/>
    </row>
    <row r="335" spans="3:12" ht="12" customHeight="1" x14ac:dyDescent="0.2">
      <c r="C335" s="304">
        <v>10</v>
      </c>
      <c r="E335" s="314" t="e">
        <f>#REF!</f>
        <v>#REF!</v>
      </c>
      <c r="F335" s="314" t="e">
        <f>#REF!</f>
        <v>#REF!</v>
      </c>
      <c r="G335" s="313" t="e">
        <f t="shared" si="32"/>
        <v>#REF!</v>
      </c>
      <c r="H335" s="315" t="s">
        <v>292</v>
      </c>
      <c r="I335" s="314"/>
      <c r="J335" s="313" t="e">
        <f>G335</f>
        <v>#REF!</v>
      </c>
      <c r="K335" s="312"/>
      <c r="L335" s="312"/>
    </row>
    <row r="336" spans="3:12" ht="12" customHeight="1" x14ac:dyDescent="0.2">
      <c r="C336" s="304">
        <v>15</v>
      </c>
      <c r="E336" s="314" t="e">
        <f>#REF!</f>
        <v>#REF!</v>
      </c>
      <c r="F336" s="314" t="e">
        <f>#REF!</f>
        <v>#REF!</v>
      </c>
      <c r="G336" s="313" t="e">
        <f t="shared" si="32"/>
        <v>#REF!</v>
      </c>
      <c r="H336" s="313" t="e">
        <f t="shared" ref="H336:H344" si="33">EXP((LN(G335)+LN(G336)+LN(G337))/3)</f>
        <v>#REF!</v>
      </c>
      <c r="I336" s="314" t="e">
        <f t="shared" ref="I336:I352" si="34">F336*H336</f>
        <v>#REF!</v>
      </c>
      <c r="J336" s="313" t="e">
        <f>H336*E357/I357</f>
        <v>#REF!</v>
      </c>
      <c r="K336" s="312"/>
      <c r="L336" s="312"/>
    </row>
    <row r="337" spans="3:12" ht="12" customHeight="1" x14ac:dyDescent="0.2">
      <c r="C337" s="304">
        <v>20</v>
      </c>
      <c r="E337" s="314" t="e">
        <f>#REF!</f>
        <v>#REF!</v>
      </c>
      <c r="F337" s="314" t="e">
        <f>#REF!</f>
        <v>#REF!</v>
      </c>
      <c r="G337" s="313" t="e">
        <f t="shared" si="32"/>
        <v>#REF!</v>
      </c>
      <c r="H337" s="313" t="e">
        <f t="shared" si="33"/>
        <v>#REF!</v>
      </c>
      <c r="I337" s="314" t="e">
        <f t="shared" si="34"/>
        <v>#REF!</v>
      </c>
      <c r="J337" s="313" t="e">
        <f>H337*E357/I357</f>
        <v>#REF!</v>
      </c>
      <c r="K337" s="312"/>
      <c r="L337" s="312"/>
    </row>
    <row r="338" spans="3:12" ht="12" customHeight="1" x14ac:dyDescent="0.2">
      <c r="C338" s="304">
        <v>25</v>
      </c>
      <c r="E338" s="314" t="e">
        <f>#REF!</f>
        <v>#REF!</v>
      </c>
      <c r="F338" s="314" t="e">
        <f>#REF!</f>
        <v>#REF!</v>
      </c>
      <c r="G338" s="313" t="e">
        <f t="shared" si="32"/>
        <v>#REF!</v>
      </c>
      <c r="H338" s="313" t="e">
        <f t="shared" si="33"/>
        <v>#REF!</v>
      </c>
      <c r="I338" s="314" t="e">
        <f t="shared" si="34"/>
        <v>#REF!</v>
      </c>
      <c r="J338" s="313" t="e">
        <f>H338*E357/I357</f>
        <v>#REF!</v>
      </c>
      <c r="K338" s="312"/>
      <c r="L338" s="312"/>
    </row>
    <row r="339" spans="3:12" ht="12" customHeight="1" x14ac:dyDescent="0.2">
      <c r="C339" s="304">
        <v>30</v>
      </c>
      <c r="E339" s="314" t="e">
        <f>#REF!</f>
        <v>#REF!</v>
      </c>
      <c r="F339" s="314" t="e">
        <f>#REF!</f>
        <v>#REF!</v>
      </c>
      <c r="G339" s="313" t="e">
        <f t="shared" si="32"/>
        <v>#REF!</v>
      </c>
      <c r="H339" s="313" t="e">
        <f t="shared" si="33"/>
        <v>#REF!</v>
      </c>
      <c r="I339" s="314" t="e">
        <f t="shared" si="34"/>
        <v>#REF!</v>
      </c>
      <c r="J339" s="313" t="e">
        <f>H339*E357/I357</f>
        <v>#REF!</v>
      </c>
      <c r="K339" s="312"/>
      <c r="L339" s="312"/>
    </row>
    <row r="340" spans="3:12" ht="12" customHeight="1" x14ac:dyDescent="0.2">
      <c r="C340" s="304">
        <v>35</v>
      </c>
      <c r="E340" s="314" t="e">
        <f>#REF!</f>
        <v>#REF!</v>
      </c>
      <c r="F340" s="314" t="e">
        <f>#REF!</f>
        <v>#REF!</v>
      </c>
      <c r="G340" s="313" t="e">
        <f t="shared" si="32"/>
        <v>#REF!</v>
      </c>
      <c r="H340" s="313" t="e">
        <f t="shared" si="33"/>
        <v>#REF!</v>
      </c>
      <c r="I340" s="314" t="e">
        <f t="shared" si="34"/>
        <v>#REF!</v>
      </c>
      <c r="J340" s="313" t="e">
        <f>H340*E357/I357</f>
        <v>#REF!</v>
      </c>
      <c r="K340" s="312"/>
      <c r="L340" s="312"/>
    </row>
    <row r="341" spans="3:12" ht="12" customHeight="1" x14ac:dyDescent="0.2">
      <c r="C341" s="304">
        <v>40</v>
      </c>
      <c r="E341" s="314" t="e">
        <f>#REF!</f>
        <v>#REF!</v>
      </c>
      <c r="F341" s="314" t="e">
        <f>#REF!</f>
        <v>#REF!</v>
      </c>
      <c r="G341" s="313" t="e">
        <f t="shared" si="32"/>
        <v>#REF!</v>
      </c>
      <c r="H341" s="313" t="e">
        <f t="shared" si="33"/>
        <v>#REF!</v>
      </c>
      <c r="I341" s="314" t="e">
        <f t="shared" si="34"/>
        <v>#REF!</v>
      </c>
      <c r="J341" s="313" t="e">
        <f>H341*E357/I357</f>
        <v>#REF!</v>
      </c>
      <c r="K341" s="312"/>
      <c r="L341" s="312"/>
    </row>
    <row r="342" spans="3:12" ht="12" customHeight="1" x14ac:dyDescent="0.2">
      <c r="C342" s="304">
        <v>45</v>
      </c>
      <c r="E342" s="314" t="e">
        <f>#REF!</f>
        <v>#REF!</v>
      </c>
      <c r="F342" s="314" t="e">
        <f>#REF!</f>
        <v>#REF!</v>
      </c>
      <c r="G342" s="313" t="e">
        <f t="shared" si="32"/>
        <v>#REF!</v>
      </c>
      <c r="H342" s="313" t="e">
        <f t="shared" si="33"/>
        <v>#REF!</v>
      </c>
      <c r="I342" s="314" t="e">
        <f t="shared" si="34"/>
        <v>#REF!</v>
      </c>
      <c r="J342" s="313" t="e">
        <f>H342*E357/I357</f>
        <v>#REF!</v>
      </c>
      <c r="K342" s="312"/>
      <c r="L342" s="312"/>
    </row>
    <row r="343" spans="3:12" ht="12" customHeight="1" x14ac:dyDescent="0.2">
      <c r="C343" s="304">
        <v>50</v>
      </c>
      <c r="E343" s="314" t="e">
        <f>#REF!</f>
        <v>#REF!</v>
      </c>
      <c r="F343" s="314" t="e">
        <f>#REF!</f>
        <v>#REF!</v>
      </c>
      <c r="G343" s="313" t="e">
        <f t="shared" si="32"/>
        <v>#REF!</v>
      </c>
      <c r="H343" s="313" t="e">
        <f t="shared" si="33"/>
        <v>#REF!</v>
      </c>
      <c r="I343" s="314" t="e">
        <f t="shared" si="34"/>
        <v>#REF!</v>
      </c>
      <c r="J343" s="313" t="e">
        <f>H343*E357/I357</f>
        <v>#REF!</v>
      </c>
      <c r="K343" s="312"/>
      <c r="L343" s="312"/>
    </row>
    <row r="344" spans="3:12" ht="12" customHeight="1" x14ac:dyDescent="0.2">
      <c r="C344" s="304">
        <v>55</v>
      </c>
      <c r="E344" s="314" t="e">
        <f>#REF!</f>
        <v>#REF!</v>
      </c>
      <c r="F344" s="314" t="e">
        <f>#REF!</f>
        <v>#REF!</v>
      </c>
      <c r="G344" s="313" t="e">
        <f t="shared" si="32"/>
        <v>#REF!</v>
      </c>
      <c r="H344" s="313" t="e">
        <f t="shared" si="33"/>
        <v>#REF!</v>
      </c>
      <c r="I344" s="314" t="e">
        <f t="shared" si="34"/>
        <v>#REF!</v>
      </c>
      <c r="J344" s="313" t="e">
        <f>H344*E357/I357</f>
        <v>#REF!</v>
      </c>
      <c r="K344" s="312"/>
      <c r="L344" s="312"/>
    </row>
    <row r="345" spans="3:12" ht="12" customHeight="1" x14ac:dyDescent="0.2">
      <c r="C345" s="304">
        <v>60</v>
      </c>
      <c r="E345" s="314" t="e">
        <f>#REF!</f>
        <v>#REF!</v>
      </c>
      <c r="F345" s="314" t="e">
        <f>#REF!</f>
        <v>#REF!</v>
      </c>
      <c r="G345" s="313" t="e">
        <f t="shared" si="32"/>
        <v>#REF!</v>
      </c>
      <c r="H345" s="313" t="e">
        <f t="shared" ref="H345:H351" si="35">IF(D237=0,EXP((LN(G344)+LN(G345)+LN(G346))/3),0)</f>
        <v>#REF!</v>
      </c>
      <c r="I345" s="314" t="e">
        <f t="shared" si="34"/>
        <v>#REF!</v>
      </c>
      <c r="J345" s="313" t="e">
        <f t="shared" ref="J345:J353" si="36">IF(I345&gt;0,H345*$E$357/$I$357,G345)</f>
        <v>#REF!</v>
      </c>
      <c r="K345" s="312"/>
      <c r="L345" s="312"/>
    </row>
    <row r="346" spans="3:12" ht="12" customHeight="1" x14ac:dyDescent="0.2">
      <c r="C346" s="304">
        <v>65</v>
      </c>
      <c r="E346" s="314" t="e">
        <f>#REF!</f>
        <v>#REF!</v>
      </c>
      <c r="F346" s="314" t="e">
        <f>#REF!</f>
        <v>#REF!</v>
      </c>
      <c r="G346" s="313" t="e">
        <f t="shared" ref="G346:G353" si="37">IF(F346&gt;0,E346/F346,0)</f>
        <v>#REF!</v>
      </c>
      <c r="H346" s="313" t="e">
        <f t="shared" si="35"/>
        <v>#REF!</v>
      </c>
      <c r="I346" s="314" t="e">
        <f t="shared" si="34"/>
        <v>#REF!</v>
      </c>
      <c r="J346" s="313" t="e">
        <f t="shared" si="36"/>
        <v>#REF!</v>
      </c>
      <c r="K346" s="312"/>
      <c r="L346" s="312"/>
    </row>
    <row r="347" spans="3:12" ht="12" customHeight="1" x14ac:dyDescent="0.2">
      <c r="C347" s="304">
        <v>70</v>
      </c>
      <c r="E347" s="314" t="e">
        <f>#REF!</f>
        <v>#REF!</v>
      </c>
      <c r="F347" s="314" t="e">
        <f>#REF!</f>
        <v>#REF!</v>
      </c>
      <c r="G347" s="313" t="e">
        <f t="shared" si="37"/>
        <v>#REF!</v>
      </c>
      <c r="H347" s="313" t="e">
        <f t="shared" si="35"/>
        <v>#REF!</v>
      </c>
      <c r="I347" s="314" t="e">
        <f t="shared" si="34"/>
        <v>#REF!</v>
      </c>
      <c r="J347" s="313" t="e">
        <f t="shared" si="36"/>
        <v>#REF!</v>
      </c>
      <c r="K347" s="312"/>
      <c r="L347" s="312"/>
    </row>
    <row r="348" spans="3:12" ht="12" customHeight="1" x14ac:dyDescent="0.2">
      <c r="C348" s="304">
        <v>75</v>
      </c>
      <c r="E348" s="314" t="e">
        <f>#REF!</f>
        <v>#REF!</v>
      </c>
      <c r="F348" s="314" t="e">
        <f>#REF!</f>
        <v>#REF!</v>
      </c>
      <c r="G348" s="313" t="e">
        <f t="shared" si="37"/>
        <v>#REF!</v>
      </c>
      <c r="H348" s="313" t="e">
        <f t="shared" si="35"/>
        <v>#REF!</v>
      </c>
      <c r="I348" s="314" t="e">
        <f t="shared" si="34"/>
        <v>#REF!</v>
      </c>
      <c r="J348" s="313" t="e">
        <f t="shared" si="36"/>
        <v>#REF!</v>
      </c>
      <c r="K348" s="312"/>
      <c r="L348" s="312"/>
    </row>
    <row r="349" spans="3:12" ht="12" customHeight="1" x14ac:dyDescent="0.2">
      <c r="C349" s="304">
        <v>80</v>
      </c>
      <c r="E349" s="314" t="e">
        <f>#REF!</f>
        <v>#REF!</v>
      </c>
      <c r="F349" s="314" t="e">
        <f>#REF!</f>
        <v>#REF!</v>
      </c>
      <c r="G349" s="313" t="e">
        <f t="shared" si="37"/>
        <v>#REF!</v>
      </c>
      <c r="H349" s="313" t="e">
        <f t="shared" si="35"/>
        <v>#REF!</v>
      </c>
      <c r="I349" s="314" t="e">
        <f t="shared" si="34"/>
        <v>#REF!</v>
      </c>
      <c r="J349" s="313" t="e">
        <f t="shared" si="36"/>
        <v>#REF!</v>
      </c>
      <c r="K349" s="312"/>
      <c r="L349" s="312"/>
    </row>
    <row r="350" spans="3:12" ht="12" customHeight="1" x14ac:dyDescent="0.2">
      <c r="C350" s="304">
        <v>85</v>
      </c>
      <c r="E350" s="314" t="e">
        <f>#REF!</f>
        <v>#REF!</v>
      </c>
      <c r="F350" s="314" t="e">
        <f>#REF!</f>
        <v>#REF!</v>
      </c>
      <c r="G350" s="313" t="e">
        <f t="shared" si="37"/>
        <v>#REF!</v>
      </c>
      <c r="H350" s="313" t="e">
        <f t="shared" si="35"/>
        <v>#REF!</v>
      </c>
      <c r="I350" s="314" t="e">
        <f t="shared" si="34"/>
        <v>#REF!</v>
      </c>
      <c r="J350" s="313" t="e">
        <f t="shared" si="36"/>
        <v>#REF!</v>
      </c>
      <c r="K350" s="312"/>
      <c r="L350" s="312"/>
    </row>
    <row r="351" spans="3:12" ht="12" customHeight="1" x14ac:dyDescent="0.2">
      <c r="C351" s="304">
        <v>90</v>
      </c>
      <c r="E351" s="314" t="e">
        <f>#REF!</f>
        <v>#REF!</v>
      </c>
      <c r="F351" s="314" t="e">
        <f>#REF!</f>
        <v>#REF!</v>
      </c>
      <c r="G351" s="313" t="e">
        <f t="shared" si="37"/>
        <v>#REF!</v>
      </c>
      <c r="H351" s="313" t="e">
        <f t="shared" si="35"/>
        <v>#REF!</v>
      </c>
      <c r="I351" s="314" t="e">
        <f t="shared" si="34"/>
        <v>#REF!</v>
      </c>
      <c r="J351" s="313" t="e">
        <f t="shared" si="36"/>
        <v>#REF!</v>
      </c>
    </row>
    <row r="352" spans="3:12" ht="12" customHeight="1" x14ac:dyDescent="0.2">
      <c r="C352" s="304">
        <v>95</v>
      </c>
      <c r="E352" s="314" t="e">
        <f>#REF!</f>
        <v>#REF!</v>
      </c>
      <c r="F352" s="314" t="e">
        <f>#REF!</f>
        <v>#REF!</v>
      </c>
      <c r="G352" s="313" t="e">
        <f t="shared" si="37"/>
        <v>#REF!</v>
      </c>
      <c r="H352" s="313">
        <v>0</v>
      </c>
      <c r="I352" s="314" t="e">
        <f t="shared" si="34"/>
        <v>#REF!</v>
      </c>
      <c r="J352" s="313" t="e">
        <f t="shared" si="36"/>
        <v>#REF!</v>
      </c>
    </row>
    <row r="353" spans="3:10" ht="12" customHeight="1" x14ac:dyDescent="0.2">
      <c r="C353" s="304">
        <v>100</v>
      </c>
      <c r="E353" s="314" t="e">
        <f>#REF!</f>
        <v>#REF!</v>
      </c>
      <c r="F353" s="314" t="e">
        <f>#REF!</f>
        <v>#REF!</v>
      </c>
      <c r="G353" s="313" t="e">
        <f t="shared" si="37"/>
        <v>#REF!</v>
      </c>
      <c r="H353" s="313">
        <v>0</v>
      </c>
      <c r="I353" s="314">
        <v>0</v>
      </c>
      <c r="J353" s="313" t="e">
        <f t="shared" si="36"/>
        <v>#REF!</v>
      </c>
    </row>
    <row r="355" spans="3:10" ht="12" customHeight="1" x14ac:dyDescent="0.2">
      <c r="C355" s="303" t="s">
        <v>293</v>
      </c>
      <c r="E355" s="314" t="e">
        <f>SUM(E332:E353)</f>
        <v>#REF!</v>
      </c>
      <c r="F355" s="314" t="e">
        <f>SUM(F332:F353)</f>
        <v>#REF!</v>
      </c>
      <c r="G355" s="314"/>
      <c r="H355" s="314"/>
      <c r="I355" s="314"/>
    </row>
    <row r="356" spans="3:10" ht="12" customHeight="1" x14ac:dyDescent="0.2">
      <c r="E356" s="314"/>
      <c r="F356" s="314"/>
      <c r="G356" s="314"/>
      <c r="H356" s="314"/>
      <c r="I356" s="314"/>
    </row>
    <row r="357" spans="3:10" ht="12" customHeight="1" x14ac:dyDescent="0.2">
      <c r="C357" s="309" t="s">
        <v>294</v>
      </c>
      <c r="D357" s="304" t="e">
        <f>VLOOKUP(1,D237:E244,2)-6</f>
        <v>#N/A</v>
      </c>
      <c r="E357" s="314">
        <f>DSUM(C330:E353,3,C363:C364)</f>
        <v>0</v>
      </c>
      <c r="F357" s="314"/>
      <c r="G357" s="314"/>
      <c r="H357" s="314"/>
      <c r="I357" s="314" t="e">
        <f>SUM(I336:I351)</f>
        <v>#REF!</v>
      </c>
    </row>
    <row r="358" spans="3:10" ht="12" customHeight="1" x14ac:dyDescent="0.2">
      <c r="C358" s="308" t="s">
        <v>70</v>
      </c>
      <c r="D358" s="308" t="s">
        <v>70</v>
      </c>
      <c r="E358" s="308" t="s">
        <v>70</v>
      </c>
      <c r="F358" s="308" t="s">
        <v>70</v>
      </c>
      <c r="G358" s="308" t="s">
        <v>70</v>
      </c>
      <c r="H358" s="308" t="s">
        <v>70</v>
      </c>
      <c r="I358" s="308" t="s">
        <v>70</v>
      </c>
      <c r="J358" s="308" t="s">
        <v>70</v>
      </c>
    </row>
    <row r="361" spans="3:10" ht="12" customHeight="1" x14ac:dyDescent="0.2">
      <c r="C361" s="303" t="s">
        <v>295</v>
      </c>
    </row>
    <row r="363" spans="3:10" ht="12" customHeight="1" x14ac:dyDescent="0.2">
      <c r="C363" s="303" t="s">
        <v>156</v>
      </c>
    </row>
    <row r="364" spans="3:10" ht="12" customHeight="1" x14ac:dyDescent="0.2">
      <c r="C364" s="316" t="e">
        <f>AND(C331&gt;=15,C331&lt;$D$357)</f>
        <v>#N/A</v>
      </c>
    </row>
  </sheetData>
  <mergeCells count="1">
    <mergeCell ref="C4:M4"/>
  </mergeCells>
  <pageMargins left="0.7" right="0.7" top="0.75" bottom="0.75" header="0.3" footer="0.3"/>
  <pageSetup scale="7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475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2</xdr:row>
                <xdr:rowOff>114300</xdr:rowOff>
              </to>
            </anchor>
          </objectPr>
        </oleObject>
      </mc:Choice>
      <mc:Fallback>
        <oleObject progId="MSPhotoEd.3" shapeId="7475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2:AC57"/>
  <sheetViews>
    <sheetView workbookViewId="0">
      <selection activeCell="O13" sqref="O13"/>
    </sheetView>
  </sheetViews>
  <sheetFormatPr defaultRowHeight="12.75" x14ac:dyDescent="0.2"/>
  <cols>
    <col min="1" max="1" width="9.140625" style="46"/>
    <col min="2" max="2" width="12.85546875" style="46" bestFit="1" customWidth="1"/>
    <col min="3" max="11" width="8.5703125" style="46" customWidth="1"/>
    <col min="12" max="16384" width="9.140625" style="46"/>
  </cols>
  <sheetData>
    <row r="2" spans="2:28" x14ac:dyDescent="0.2">
      <c r="I2" s="65" t="s">
        <v>314</v>
      </c>
    </row>
    <row r="3" spans="2:28" x14ac:dyDescent="0.2">
      <c r="H3" s="44"/>
      <c r="I3" s="44"/>
      <c r="K3" s="57"/>
    </row>
    <row r="7" spans="2:28" x14ac:dyDescent="0.2">
      <c r="B7" s="73">
        <v>1.06</v>
      </c>
      <c r="C7" s="389" t="s">
        <v>313</v>
      </c>
      <c r="D7" s="389"/>
      <c r="E7" s="389"/>
      <c r="F7" s="389"/>
      <c r="G7" s="389"/>
      <c r="H7" s="389"/>
      <c r="I7" s="389"/>
      <c r="J7" s="389"/>
      <c r="K7" s="389"/>
    </row>
    <row r="8" spans="2:28" ht="15" x14ac:dyDescent="0.25"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167"/>
    </row>
    <row r="9" spans="2:28" ht="15" x14ac:dyDescent="0.25">
      <c r="B9" s="387" t="s">
        <v>99</v>
      </c>
      <c r="C9" s="385" t="s">
        <v>98</v>
      </c>
      <c r="D9" s="385"/>
      <c r="E9" s="385"/>
      <c r="F9" s="386" t="s">
        <v>12</v>
      </c>
      <c r="G9" s="385"/>
      <c r="H9" s="385"/>
      <c r="I9" s="386" t="s">
        <v>96</v>
      </c>
      <c r="J9" s="385"/>
      <c r="K9" s="385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167"/>
    </row>
    <row r="10" spans="2:28" s="275" customFormat="1" ht="15" x14ac:dyDescent="0.25">
      <c r="B10" s="388"/>
      <c r="C10" s="322" t="s">
        <v>1</v>
      </c>
      <c r="D10" s="322" t="s">
        <v>2</v>
      </c>
      <c r="E10" s="322" t="s">
        <v>3</v>
      </c>
      <c r="F10" s="323" t="s">
        <v>1</v>
      </c>
      <c r="G10" s="322" t="s">
        <v>2</v>
      </c>
      <c r="H10" s="322" t="s">
        <v>3</v>
      </c>
      <c r="I10" s="323" t="s">
        <v>1</v>
      </c>
      <c r="J10" s="322" t="s">
        <v>2</v>
      </c>
      <c r="K10" s="322" t="s">
        <v>3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85"/>
      <c r="Z10" s="85"/>
      <c r="AA10" s="85"/>
      <c r="AB10" s="168"/>
    </row>
    <row r="11" spans="2:28" ht="18" customHeight="1" x14ac:dyDescent="0.25">
      <c r="B11" s="169"/>
      <c r="C11" s="158"/>
      <c r="D11" s="158"/>
      <c r="E11" s="158"/>
      <c r="F11" s="324"/>
      <c r="G11" s="158"/>
      <c r="H11" s="158"/>
      <c r="I11" s="324"/>
      <c r="J11" s="158"/>
      <c r="K11" s="158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167"/>
    </row>
    <row r="12" spans="2:28" ht="18" customHeight="1" x14ac:dyDescent="0.25">
      <c r="B12" s="325" t="s">
        <v>1</v>
      </c>
      <c r="C12" s="107">
        <v>88833.367838349339</v>
      </c>
      <c r="D12" s="107">
        <v>44062.679638165333</v>
      </c>
      <c r="E12" s="107">
        <v>44770.688200182347</v>
      </c>
      <c r="F12" s="326">
        <f>(G12+H12)</f>
        <v>40633.000000000073</v>
      </c>
      <c r="G12" s="107">
        <v>20275.415065722998</v>
      </c>
      <c r="H12" s="107">
        <v>20357.584934277078</v>
      </c>
      <c r="I12" s="326">
        <f>(J12+K12)</f>
        <v>48200.367838345381</v>
      </c>
      <c r="J12" s="107">
        <v>23787.2645724412</v>
      </c>
      <c r="K12" s="107">
        <v>24413.103265904185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167"/>
    </row>
    <row r="13" spans="2:28" ht="18" customHeight="1" x14ac:dyDescent="0.25">
      <c r="B13" s="325"/>
      <c r="C13" s="327"/>
      <c r="D13" s="327"/>
      <c r="E13" s="327"/>
      <c r="F13" s="326"/>
      <c r="G13" s="327"/>
      <c r="H13" s="327"/>
      <c r="I13" s="328"/>
      <c r="J13" s="327"/>
      <c r="K13" s="327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167"/>
    </row>
    <row r="14" spans="2:28" ht="18" customHeight="1" x14ac:dyDescent="0.25">
      <c r="B14" s="59" t="s">
        <v>97</v>
      </c>
      <c r="C14" s="53">
        <v>739.69458065186245</v>
      </c>
      <c r="D14" s="53">
        <v>356.23127100594724</v>
      </c>
      <c r="E14" s="53">
        <v>383.46330964591556</v>
      </c>
      <c r="F14" s="216">
        <f t="shared" ref="F14:F36" si="0">SUM(G14+H14)</f>
        <v>308.13700707785699</v>
      </c>
      <c r="G14" s="53">
        <v>184.8822042467142</v>
      </c>
      <c r="H14" s="53">
        <v>123.25480283114281</v>
      </c>
      <c r="I14" s="170">
        <f t="shared" ref="I14:I36" si="1">SUM(J14+K14)</f>
        <v>431.5575735740058</v>
      </c>
      <c r="J14" s="53">
        <v>171.34906675923301</v>
      </c>
      <c r="K14" s="53">
        <v>260.20850681477276</v>
      </c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167"/>
    </row>
    <row r="15" spans="2:28" ht="18" customHeight="1" x14ac:dyDescent="0.25">
      <c r="B15" s="329" t="s">
        <v>108</v>
      </c>
      <c r="C15" s="53">
        <v>4247.0694607972091</v>
      </c>
      <c r="D15" s="53">
        <v>1951.2309160104762</v>
      </c>
      <c r="E15" s="53">
        <v>2295.8385447867317</v>
      </c>
      <c r="F15" s="216">
        <f t="shared" si="0"/>
        <v>2013.1617795753309</v>
      </c>
      <c r="G15" s="53">
        <v>965.49595551061793</v>
      </c>
      <c r="H15" s="53">
        <v>1047.665824064713</v>
      </c>
      <c r="I15" s="170">
        <f t="shared" si="1"/>
        <v>2233.907681221875</v>
      </c>
      <c r="J15" s="53">
        <v>985.73496049985772</v>
      </c>
      <c r="K15" s="53">
        <v>1248.1727207220174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167"/>
    </row>
    <row r="16" spans="2:28" ht="18" customHeight="1" x14ac:dyDescent="0.25">
      <c r="B16" s="329" t="s">
        <v>82</v>
      </c>
      <c r="C16" s="53">
        <v>4123.8074156055591</v>
      </c>
      <c r="D16" s="53">
        <v>1981.3244819965118</v>
      </c>
      <c r="E16" s="53">
        <v>2142.4829336090374</v>
      </c>
      <c r="F16" s="216">
        <f t="shared" si="0"/>
        <v>2382.9261880687586</v>
      </c>
      <c r="G16" s="53">
        <v>1232.5480283114268</v>
      </c>
      <c r="H16" s="53">
        <v>1150.3781597573318</v>
      </c>
      <c r="I16" s="170">
        <f t="shared" si="1"/>
        <v>1740.8812275367895</v>
      </c>
      <c r="J16" s="53">
        <v>748.77645368508513</v>
      </c>
      <c r="K16" s="53">
        <v>992.10477385170429</v>
      </c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167"/>
    </row>
    <row r="17" spans="2:28" ht="18" customHeight="1" x14ac:dyDescent="0.25">
      <c r="B17" s="329" t="s">
        <v>83</v>
      </c>
      <c r="C17" s="53">
        <v>4415.6992255145578</v>
      </c>
      <c r="D17" s="53">
        <v>2222.0992637862482</v>
      </c>
      <c r="E17" s="53">
        <v>2193.5999617283019</v>
      </c>
      <c r="F17" s="216">
        <f t="shared" si="0"/>
        <v>2814.3179979777578</v>
      </c>
      <c r="G17" s="53">
        <v>1602.3124368048545</v>
      </c>
      <c r="H17" s="53">
        <v>1212.0055611729031</v>
      </c>
      <c r="I17" s="170">
        <f t="shared" si="1"/>
        <v>1601.3812275367895</v>
      </c>
      <c r="J17" s="53">
        <v>619.78682698139198</v>
      </c>
      <c r="K17" s="53">
        <v>981.59440055539744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167"/>
    </row>
    <row r="18" spans="2:28" ht="18" customHeight="1" x14ac:dyDescent="0.25">
      <c r="B18" s="329" t="s">
        <v>69</v>
      </c>
      <c r="C18" s="53">
        <v>3966.2994753029952</v>
      </c>
      <c r="D18" s="53">
        <v>2122.8879717388927</v>
      </c>
      <c r="E18" s="53">
        <v>1843.4115035640878</v>
      </c>
      <c r="F18" s="216">
        <f t="shared" si="0"/>
        <v>3266.2522750252801</v>
      </c>
      <c r="G18" s="53">
        <v>1663.9398382204258</v>
      </c>
      <c r="H18" s="53">
        <v>1602.3124368048545</v>
      </c>
      <c r="I18" s="170">
        <f t="shared" si="1"/>
        <v>700.04720027769895</v>
      </c>
      <c r="J18" s="53">
        <v>458.94813351846591</v>
      </c>
      <c r="K18" s="53">
        <v>241.09906675923301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167"/>
    </row>
    <row r="19" spans="2:28" ht="18" customHeight="1" x14ac:dyDescent="0.25">
      <c r="B19" s="329" t="s">
        <v>71</v>
      </c>
      <c r="C19" s="53">
        <v>3961.6969319047525</v>
      </c>
      <c r="D19" s="53">
        <v>2034.0357740438681</v>
      </c>
      <c r="E19" s="53">
        <v>1927.6611578608781</v>
      </c>
      <c r="F19" s="216">
        <f t="shared" si="0"/>
        <v>2218.5864509605685</v>
      </c>
      <c r="G19" s="53">
        <v>1170.9206268958555</v>
      </c>
      <c r="H19" s="53">
        <v>1047.665824064713</v>
      </c>
      <c r="I19" s="170">
        <f t="shared" si="1"/>
        <v>1743.1104809441758</v>
      </c>
      <c r="J19" s="53">
        <v>863.11514714801115</v>
      </c>
      <c r="K19" s="53">
        <v>879.99533379616457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167"/>
    </row>
    <row r="20" spans="2:28" ht="18" customHeight="1" x14ac:dyDescent="0.25">
      <c r="B20" s="329"/>
      <c r="C20" s="53"/>
      <c r="D20" s="53"/>
      <c r="E20" s="53"/>
      <c r="F20" s="216"/>
      <c r="G20" s="53"/>
      <c r="H20" s="53"/>
      <c r="I20" s="170"/>
      <c r="J20" s="53"/>
      <c r="K20" s="53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167"/>
    </row>
    <row r="21" spans="2:28" ht="18" customHeight="1" x14ac:dyDescent="0.25">
      <c r="B21" s="329" t="s">
        <v>72</v>
      </c>
      <c r="C21" s="53">
        <v>6740.065137539943</v>
      </c>
      <c r="D21" s="53">
        <v>3121.0500431533619</v>
      </c>
      <c r="E21" s="53">
        <v>3619.0150943865924</v>
      </c>
      <c r="F21" s="216">
        <f t="shared" si="0"/>
        <v>2403.4686552072826</v>
      </c>
      <c r="G21" s="53">
        <v>1253.0904954499506</v>
      </c>
      <c r="H21" s="53">
        <v>1150.3781597573318</v>
      </c>
      <c r="I21" s="170">
        <f t="shared" si="1"/>
        <v>4336.5964823326731</v>
      </c>
      <c r="J21" s="53">
        <v>1867.9595477034111</v>
      </c>
      <c r="K21" s="53">
        <v>2468.6369346292622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167"/>
    </row>
    <row r="22" spans="2:28" ht="18" customHeight="1" x14ac:dyDescent="0.25">
      <c r="B22" s="329" t="s">
        <v>73</v>
      </c>
      <c r="C22" s="53">
        <v>10236.794661445307</v>
      </c>
      <c r="D22" s="53">
        <v>4840.7520027930441</v>
      </c>
      <c r="E22" s="53">
        <v>5396.042658652279</v>
      </c>
      <c r="F22" s="216">
        <f t="shared" si="0"/>
        <v>2485.6385237613777</v>
      </c>
      <c r="G22" s="53">
        <v>1191.4630940343793</v>
      </c>
      <c r="H22" s="53">
        <v>1294.1754297269981</v>
      </c>
      <c r="I22" s="170">
        <f t="shared" si="1"/>
        <v>7751.15613768394</v>
      </c>
      <c r="J22" s="53">
        <v>3649.2889087586609</v>
      </c>
      <c r="K22" s="53">
        <v>4101.8672289252791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167"/>
    </row>
    <row r="23" spans="2:28" ht="18" customHeight="1" x14ac:dyDescent="0.25">
      <c r="B23" s="329" t="s">
        <v>74</v>
      </c>
      <c r="C23" s="53">
        <v>8821.8980514617942</v>
      </c>
      <c r="D23" s="53">
        <v>4465.7283343405425</v>
      </c>
      <c r="E23" s="53">
        <v>4356.16971712127</v>
      </c>
      <c r="F23" s="216">
        <f t="shared" si="0"/>
        <v>2095.331648129426</v>
      </c>
      <c r="G23" s="53">
        <v>1129.835692618808</v>
      </c>
      <c r="H23" s="53">
        <v>965.49595551061793</v>
      </c>
      <c r="I23" s="170">
        <f>SUM(J23+K23)</f>
        <v>6726.5664033323828</v>
      </c>
      <c r="J23" s="53">
        <v>3335.8926417217313</v>
      </c>
      <c r="K23" s="53">
        <v>3390.6737616106516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167"/>
    </row>
    <row r="24" spans="2:28" ht="18" customHeight="1" x14ac:dyDescent="0.25">
      <c r="B24" s="329" t="s">
        <v>75</v>
      </c>
      <c r="C24" s="53">
        <v>9241.8274559862093</v>
      </c>
      <c r="D24" s="53">
        <v>4954.137759906359</v>
      </c>
      <c r="E24" s="53">
        <v>4287.6896960798658</v>
      </c>
      <c r="F24" s="216">
        <f t="shared" si="0"/>
        <v>2280.2138523761396</v>
      </c>
      <c r="G24" s="53">
        <v>1068.2082912032367</v>
      </c>
      <c r="H24" s="53">
        <v>1212.0055611729031</v>
      </c>
      <c r="I24" s="170">
        <f t="shared" si="1"/>
        <v>6961.6136036100797</v>
      </c>
      <c r="J24" s="53">
        <v>3885.9294687031206</v>
      </c>
      <c r="K24" s="53">
        <v>3075.6841349069591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167"/>
    </row>
    <row r="25" spans="2:28" ht="18" customHeight="1" x14ac:dyDescent="0.25">
      <c r="B25" s="329" t="s">
        <v>76</v>
      </c>
      <c r="C25" s="53">
        <v>7958.6153293694824</v>
      </c>
      <c r="D25" s="53">
        <v>3993.0812996695936</v>
      </c>
      <c r="E25" s="53">
        <v>3965.534029699927</v>
      </c>
      <c r="F25" s="216">
        <f t="shared" si="0"/>
        <v>2608.8933265925198</v>
      </c>
      <c r="G25" s="53">
        <v>1376.3452982810932</v>
      </c>
      <c r="H25" s="53">
        <v>1232.5480283114268</v>
      </c>
      <c r="I25" s="170">
        <f t="shared" si="1"/>
        <v>5349.7220027769908</v>
      </c>
      <c r="J25" s="53">
        <v>2616.7360013884954</v>
      </c>
      <c r="K25" s="53">
        <v>2732.986001388495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167"/>
    </row>
    <row r="26" spans="2:28" ht="18" customHeight="1" x14ac:dyDescent="0.25">
      <c r="B26" s="329"/>
      <c r="C26" s="53"/>
      <c r="D26" s="53"/>
      <c r="E26" s="53"/>
      <c r="F26" s="216"/>
      <c r="G26" s="53"/>
      <c r="H26" s="53"/>
      <c r="I26" s="170"/>
      <c r="J26" s="53"/>
      <c r="K26" s="53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167"/>
    </row>
    <row r="27" spans="2:28" ht="18" customHeight="1" x14ac:dyDescent="0.25">
      <c r="B27" s="329" t="s">
        <v>84</v>
      </c>
      <c r="C27" s="53">
        <v>6918.8855174039873</v>
      </c>
      <c r="D27" s="53">
        <v>3437.3096488156507</v>
      </c>
      <c r="E27" s="53">
        <v>3481.5758685883666</v>
      </c>
      <c r="F27" s="216">
        <f t="shared" si="0"/>
        <v>3286.7947421638041</v>
      </c>
      <c r="G27" s="53">
        <v>1499.6001011122357</v>
      </c>
      <c r="H27" s="53">
        <v>1787.1946410515684</v>
      </c>
      <c r="I27" s="170">
        <f t="shared" si="1"/>
        <v>3632.0907752402027</v>
      </c>
      <c r="J27" s="53">
        <v>1937.7095477034115</v>
      </c>
      <c r="K27" s="53">
        <v>1694.3812275367911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167"/>
    </row>
    <row r="28" spans="2:28" ht="18" customHeight="1" x14ac:dyDescent="0.25">
      <c r="B28" s="329" t="s">
        <v>85</v>
      </c>
      <c r="C28" s="53">
        <v>5650.174856363361</v>
      </c>
      <c r="D28" s="53">
        <v>2906.2255518645898</v>
      </c>
      <c r="E28" s="53">
        <v>2743.9493044987798</v>
      </c>
      <c r="F28" s="216">
        <f t="shared" si="0"/>
        <v>2978.6577350859479</v>
      </c>
      <c r="G28" s="53">
        <v>1355.8028311425694</v>
      </c>
      <c r="H28" s="53">
        <v>1622.8549039433783</v>
      </c>
      <c r="I28" s="170">
        <f t="shared" si="1"/>
        <v>2671.5171212774158</v>
      </c>
      <c r="J28" s="53">
        <v>1550.4227207220181</v>
      </c>
      <c r="K28" s="53">
        <v>1121.0944005553979</v>
      </c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167"/>
    </row>
    <row r="29" spans="2:28" ht="18" customHeight="1" x14ac:dyDescent="0.25">
      <c r="B29" s="329" t="s">
        <v>86</v>
      </c>
      <c r="C29" s="53">
        <v>4240.8463995694456</v>
      </c>
      <c r="D29" s="53">
        <v>2122.4142191047031</v>
      </c>
      <c r="E29" s="53">
        <v>2118.4321804647352</v>
      </c>
      <c r="F29" s="216">
        <f>SUM(G29+H29)</f>
        <v>2855.4029322548049</v>
      </c>
      <c r="G29" s="53">
        <v>1396.8877654196169</v>
      </c>
      <c r="H29" s="53">
        <v>1458.5151668351882</v>
      </c>
      <c r="I29" s="170">
        <f t="shared" si="1"/>
        <v>1385.4434673146304</v>
      </c>
      <c r="J29" s="53">
        <v>725.52645368508513</v>
      </c>
      <c r="K29" s="53">
        <v>659.91701362954529</v>
      </c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167"/>
    </row>
    <row r="30" spans="2:28" ht="18" customHeight="1" x14ac:dyDescent="0.25">
      <c r="B30" s="330" t="s">
        <v>87</v>
      </c>
      <c r="C30" s="53">
        <v>2622.2769964153135</v>
      </c>
      <c r="D30" s="53">
        <v>1127.767676056528</v>
      </c>
      <c r="E30" s="53">
        <v>1494.5093203587819</v>
      </c>
      <c r="F30" s="216">
        <f t="shared" si="0"/>
        <v>2156.9590495449975</v>
      </c>
      <c r="G30" s="53">
        <v>986.03842264914169</v>
      </c>
      <c r="H30" s="53">
        <v>1170.9206268958555</v>
      </c>
      <c r="I30" s="170">
        <f t="shared" si="1"/>
        <v>465.3179468703126</v>
      </c>
      <c r="J30" s="53">
        <v>141.72925340738641</v>
      </c>
      <c r="K30" s="53">
        <v>323.58869346292619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167"/>
    </row>
    <row r="31" spans="2:28" ht="18" customHeight="1" x14ac:dyDescent="0.25">
      <c r="B31" s="330" t="s">
        <v>77</v>
      </c>
      <c r="C31" s="53">
        <v>2175.7532582708395</v>
      </c>
      <c r="D31" s="53">
        <v>1106.9054507684061</v>
      </c>
      <c r="E31" s="53">
        <v>1068.8478075024327</v>
      </c>
      <c r="F31" s="216">
        <f t="shared" si="0"/>
        <v>1951.5343781597596</v>
      </c>
      <c r="G31" s="53">
        <v>1047.665824064713</v>
      </c>
      <c r="H31" s="53">
        <v>903.86855409504665</v>
      </c>
      <c r="I31" s="170">
        <f t="shared" si="1"/>
        <v>224.21888011107961</v>
      </c>
      <c r="J31" s="53">
        <v>59.239626703693197</v>
      </c>
      <c r="K31" s="53">
        <v>164.97925340738641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167"/>
    </row>
    <row r="32" spans="2:28" ht="18" customHeight="1" x14ac:dyDescent="0.25">
      <c r="B32" s="330"/>
      <c r="C32" s="53"/>
      <c r="D32" s="53"/>
      <c r="E32" s="53"/>
      <c r="F32" s="216"/>
      <c r="G32" s="53"/>
      <c r="H32" s="53"/>
      <c r="I32" s="170"/>
      <c r="J32" s="53"/>
      <c r="K32" s="53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167"/>
    </row>
    <row r="33" spans="2:28" ht="18" customHeight="1" x14ac:dyDescent="0.25">
      <c r="B33" s="330" t="s">
        <v>78</v>
      </c>
      <c r="C33" s="53">
        <v>1305.9603088017971</v>
      </c>
      <c r="D33" s="53">
        <v>648.6013603690368</v>
      </c>
      <c r="E33" s="53">
        <v>657.35894843276151</v>
      </c>
      <c r="F33" s="216">
        <f t="shared" si="0"/>
        <v>1253.0904954499517</v>
      </c>
      <c r="G33" s="53">
        <v>595.73154701719022</v>
      </c>
      <c r="H33" s="53">
        <v>657.35894843276151</v>
      </c>
      <c r="I33" s="170">
        <f t="shared" si="1"/>
        <v>52.869813351846602</v>
      </c>
      <c r="J33" s="53">
        <v>52.869813351846602</v>
      </c>
      <c r="K33" s="53">
        <v>0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167"/>
    </row>
    <row r="34" spans="2:28" ht="18" customHeight="1" x14ac:dyDescent="0.25">
      <c r="B34" s="330" t="s">
        <v>79</v>
      </c>
      <c r="C34" s="53">
        <v>665.48154701719011</v>
      </c>
      <c r="D34" s="53">
        <v>316.25960566228559</v>
      </c>
      <c r="E34" s="53">
        <v>349.22194135490463</v>
      </c>
      <c r="F34" s="216">
        <f t="shared" si="0"/>
        <v>595.73154701719022</v>
      </c>
      <c r="G34" s="53">
        <v>246.50960566228557</v>
      </c>
      <c r="H34" s="53">
        <v>349.22194135490463</v>
      </c>
      <c r="I34" s="170">
        <f t="shared" si="1"/>
        <v>69.75</v>
      </c>
      <c r="J34" s="53">
        <v>69.75</v>
      </c>
      <c r="K34" s="53">
        <v>0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167"/>
    </row>
    <row r="35" spans="2:28" ht="18" customHeight="1" x14ac:dyDescent="0.25">
      <c r="B35" s="330" t="s">
        <v>80</v>
      </c>
      <c r="C35" s="53">
        <v>800.52122892313162</v>
      </c>
      <c r="D35" s="53">
        <v>354.63700707785705</v>
      </c>
      <c r="E35" s="53">
        <v>445.88422184527514</v>
      </c>
      <c r="F35" s="216">
        <f>SUM(G35+H35)</f>
        <v>677.9014155712855</v>
      </c>
      <c r="G35" s="53">
        <v>308.13700707785699</v>
      </c>
      <c r="H35" s="53">
        <v>369.76440849342845</v>
      </c>
      <c r="I35" s="170">
        <f>SUM(J35+K35)</f>
        <v>122.6198133518466</v>
      </c>
      <c r="J35" s="53">
        <v>46.5</v>
      </c>
      <c r="K35" s="53">
        <v>76.119813351846602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167"/>
    </row>
    <row r="36" spans="2:28" ht="18" customHeight="1" x14ac:dyDescent="0.25">
      <c r="B36" s="330" t="s">
        <v>122</v>
      </c>
      <c r="C36" s="53">
        <v>0</v>
      </c>
      <c r="D36" s="53">
        <v>0</v>
      </c>
      <c r="E36" s="53">
        <v>0</v>
      </c>
      <c r="F36" s="216">
        <f t="shared" si="0"/>
        <v>0</v>
      </c>
      <c r="G36" s="53">
        <v>0</v>
      </c>
      <c r="H36" s="53">
        <v>0</v>
      </c>
      <c r="I36" s="170">
        <f t="shared" si="1"/>
        <v>0</v>
      </c>
      <c r="J36" s="53">
        <v>0</v>
      </c>
      <c r="K36" s="53">
        <v>0</v>
      </c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167"/>
    </row>
    <row r="37" spans="2:28" ht="18" customHeight="1" x14ac:dyDescent="0.2">
      <c r="B37" s="171"/>
      <c r="C37" s="125"/>
      <c r="D37" s="125"/>
      <c r="E37" s="125"/>
      <c r="F37" s="331"/>
      <c r="G37" s="125"/>
      <c r="H37" s="125"/>
      <c r="I37" s="331"/>
      <c r="J37" s="125"/>
      <c r="K37" s="125"/>
    </row>
    <row r="39" spans="2:28" x14ac:dyDescent="0.2">
      <c r="B39" s="55" t="s">
        <v>38</v>
      </c>
    </row>
    <row r="46" spans="2:28" x14ac:dyDescent="0.2">
      <c r="B46" s="275"/>
      <c r="C46" s="275"/>
      <c r="D46" s="275"/>
      <c r="E46" s="275"/>
      <c r="F46" s="275"/>
      <c r="G46" s="275"/>
      <c r="H46" s="275"/>
      <c r="I46" s="275"/>
      <c r="J46" s="275"/>
      <c r="K46" s="275"/>
    </row>
    <row r="55" spans="2:29" ht="15" x14ac:dyDescent="0.25"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</row>
    <row r="57" spans="2:29" s="42" customFormat="1" ht="12.75" customHeight="1" x14ac:dyDescent="0.25">
      <c r="B57" s="56"/>
      <c r="C57" s="56"/>
      <c r="D57" s="56"/>
      <c r="E57" s="56"/>
      <c r="F57" s="56"/>
      <c r="G57" s="56"/>
      <c r="H57" s="56"/>
      <c r="I57" s="56"/>
      <c r="J57" s="56"/>
      <c r="K57" s="5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</sheetData>
  <mergeCells count="5">
    <mergeCell ref="C9:E9"/>
    <mergeCell ref="I9:K9"/>
    <mergeCell ref="F9:H9"/>
    <mergeCell ref="B9:B10"/>
    <mergeCell ref="C7:K7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4274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390525</xdr:colOff>
                <xdr:row>3</xdr:row>
                <xdr:rowOff>28575</xdr:rowOff>
              </to>
            </anchor>
          </objectPr>
        </oleObject>
      </mc:Choice>
      <mc:Fallback>
        <oleObject progId="MSPhotoEd.3" shapeId="5427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51"/>
  <sheetViews>
    <sheetView workbookViewId="0"/>
  </sheetViews>
  <sheetFormatPr defaultRowHeight="12.75" x14ac:dyDescent="0.2"/>
  <cols>
    <col min="1" max="1" width="9.140625" style="9"/>
    <col min="2" max="2" width="11.42578125" style="9" customWidth="1"/>
    <col min="3" max="3" width="12.140625" style="9" bestFit="1" customWidth="1"/>
    <col min="4" max="4" width="10.42578125" style="9" bestFit="1" customWidth="1"/>
    <col min="5" max="5" width="9.85546875" style="9" bestFit="1" customWidth="1"/>
    <col min="6" max="6" width="11.28515625" style="9" bestFit="1" customWidth="1"/>
    <col min="7" max="7" width="9.85546875" style="9" bestFit="1" customWidth="1"/>
    <col min="8" max="8" width="11.85546875" style="9" bestFit="1" customWidth="1"/>
    <col min="9" max="9" width="9.85546875" style="9" bestFit="1" customWidth="1"/>
    <col min="10" max="16384" width="9.140625" style="9"/>
  </cols>
  <sheetData>
    <row r="1" spans="2:12" s="13" customFormat="1" ht="15" x14ac:dyDescent="0.25">
      <c r="I1" s="65" t="s">
        <v>297</v>
      </c>
    </row>
    <row r="2" spans="2:12" s="13" customFormat="1" ht="15" x14ac:dyDescent="0.25"/>
    <row r="3" spans="2:12" s="13" customFormat="1" ht="15" x14ac:dyDescent="0.25">
      <c r="H3" s="1"/>
      <c r="I3" s="1"/>
      <c r="J3" s="14"/>
      <c r="K3" s="15"/>
      <c r="L3" s="14"/>
    </row>
    <row r="4" spans="2:12" s="15" customFormat="1" x14ac:dyDescent="0.2"/>
    <row r="5" spans="2:12" s="15" customFormat="1" x14ac:dyDescent="0.2"/>
    <row r="6" spans="2:12" s="15" customFormat="1" ht="15" customHeight="1" x14ac:dyDescent="0.25">
      <c r="B6" s="39" t="s">
        <v>115</v>
      </c>
      <c r="C6" s="390" t="s">
        <v>302</v>
      </c>
      <c r="D6" s="390"/>
      <c r="E6" s="390"/>
      <c r="F6" s="390"/>
      <c r="G6" s="390"/>
      <c r="H6" s="390"/>
      <c r="I6" s="390"/>
      <c r="J6" s="390"/>
    </row>
    <row r="7" spans="2:12" s="15" customFormat="1" x14ac:dyDescent="0.2">
      <c r="C7" s="30"/>
      <c r="D7" s="391"/>
      <c r="E7" s="391"/>
      <c r="F7" s="391"/>
      <c r="G7" s="391"/>
      <c r="H7" s="391"/>
      <c r="I7" s="391"/>
    </row>
    <row r="8" spans="2:12" s="15" customFormat="1" x14ac:dyDescent="0.2">
      <c r="C8" s="5"/>
      <c r="D8" s="5"/>
      <c r="E8" s="5"/>
      <c r="F8" s="5"/>
      <c r="G8" s="5"/>
      <c r="H8" s="5"/>
      <c r="I8" s="5"/>
    </row>
    <row r="9" spans="2:12" s="15" customFormat="1" x14ac:dyDescent="0.2">
      <c r="C9" s="2"/>
      <c r="D9" s="391"/>
      <c r="E9" s="391"/>
      <c r="F9" s="391"/>
      <c r="G9" s="391"/>
      <c r="H9" s="391"/>
      <c r="I9" s="391"/>
    </row>
    <row r="10" spans="2:12" s="15" customFormat="1" x14ac:dyDescent="0.2">
      <c r="C10" s="2"/>
      <c r="D10" s="28"/>
      <c r="E10" s="28"/>
      <c r="F10" s="28"/>
      <c r="G10" s="28"/>
      <c r="H10" s="28"/>
      <c r="I10" s="28"/>
    </row>
    <row r="11" spans="2:12" s="15" customFormat="1" x14ac:dyDescent="0.2">
      <c r="C11" s="5"/>
      <c r="D11" s="5"/>
      <c r="E11" s="5"/>
      <c r="F11" s="5"/>
      <c r="G11" s="5"/>
      <c r="H11" s="5"/>
      <c r="I11" s="5"/>
    </row>
    <row r="12" spans="2:12" s="15" customFormat="1" x14ac:dyDescent="0.2">
      <c r="C12" s="2"/>
      <c r="D12" s="3"/>
      <c r="E12" s="4"/>
      <c r="F12" s="3"/>
      <c r="G12" s="4"/>
      <c r="H12" s="3"/>
      <c r="I12" s="4"/>
    </row>
    <row r="13" spans="2:12" s="15" customFormat="1" x14ac:dyDescent="0.2">
      <c r="C13" s="5"/>
      <c r="D13" s="6"/>
      <c r="E13" s="7"/>
      <c r="F13" s="6"/>
      <c r="G13" s="7"/>
      <c r="H13" s="6"/>
      <c r="I13" s="7"/>
    </row>
    <row r="14" spans="2:12" s="15" customFormat="1" x14ac:dyDescent="0.2">
      <c r="C14" s="5"/>
      <c r="D14" s="10"/>
      <c r="E14" s="11"/>
      <c r="F14" s="6"/>
      <c r="G14" s="8"/>
      <c r="H14" s="6"/>
      <c r="I14" s="8"/>
    </row>
    <row r="15" spans="2:12" s="15" customFormat="1" x14ac:dyDescent="0.2">
      <c r="C15" s="5"/>
      <c r="D15" s="10"/>
      <c r="E15" s="11"/>
      <c r="F15" s="6"/>
      <c r="G15" s="8"/>
      <c r="H15" s="6"/>
      <c r="I15" s="8"/>
    </row>
    <row r="16" spans="2:12" s="15" customFormat="1" x14ac:dyDescent="0.2">
      <c r="C16" s="5"/>
      <c r="D16" s="10"/>
      <c r="E16" s="11"/>
      <c r="F16" s="6"/>
      <c r="G16" s="8"/>
      <c r="H16" s="6"/>
      <c r="I16" s="8"/>
    </row>
    <row r="17" spans="3:9" s="15" customFormat="1" x14ac:dyDescent="0.2">
      <c r="C17" s="5"/>
      <c r="D17" s="10"/>
      <c r="E17" s="11"/>
      <c r="F17" s="6"/>
      <c r="G17" s="8"/>
      <c r="H17" s="6"/>
      <c r="I17" s="8"/>
    </row>
    <row r="18" spans="3:9" s="15" customFormat="1" x14ac:dyDescent="0.2">
      <c r="C18" s="5"/>
      <c r="D18" s="10"/>
      <c r="E18" s="11"/>
      <c r="F18" s="6"/>
      <c r="G18" s="8"/>
      <c r="H18" s="6"/>
      <c r="I18" s="8"/>
    </row>
    <row r="19" spans="3:9" s="15" customFormat="1" ht="15" customHeight="1" x14ac:dyDescent="0.2">
      <c r="C19" s="41"/>
      <c r="D19" s="6"/>
      <c r="E19" s="8"/>
      <c r="F19" s="6"/>
      <c r="G19" s="8"/>
      <c r="H19" s="6"/>
      <c r="I19" s="8"/>
    </row>
    <row r="20" spans="3:9" s="15" customFormat="1" x14ac:dyDescent="0.2">
      <c r="C20" s="25"/>
      <c r="D20" s="25"/>
      <c r="E20" s="25"/>
      <c r="F20" s="25"/>
      <c r="G20" s="25"/>
      <c r="H20" s="25"/>
      <c r="I20" s="25"/>
    </row>
    <row r="21" spans="3:9" s="15" customFormat="1" x14ac:dyDescent="0.2">
      <c r="C21" s="25"/>
      <c r="D21" s="25"/>
      <c r="E21" s="25"/>
      <c r="F21" s="25"/>
      <c r="G21" s="25"/>
      <c r="H21" s="25"/>
      <c r="I21" s="25"/>
    </row>
    <row r="22" spans="3:9" s="15" customFormat="1" x14ac:dyDescent="0.2">
      <c r="C22" s="25"/>
      <c r="D22" s="25"/>
      <c r="E22" s="25"/>
      <c r="F22" s="25"/>
      <c r="G22" s="25"/>
      <c r="H22" s="25"/>
      <c r="I22" s="25"/>
    </row>
    <row r="23" spans="3:9" s="15" customFormat="1" x14ac:dyDescent="0.2">
      <c r="C23" s="25"/>
      <c r="D23" s="25"/>
      <c r="E23" s="25"/>
      <c r="F23" s="25"/>
      <c r="G23" s="25"/>
      <c r="H23" s="25"/>
      <c r="I23" s="25"/>
    </row>
    <row r="24" spans="3:9" s="15" customFormat="1" x14ac:dyDescent="0.2">
      <c r="C24" s="25"/>
      <c r="D24" s="25"/>
      <c r="E24" s="25"/>
      <c r="F24" s="25"/>
      <c r="G24" s="25"/>
      <c r="H24" s="25"/>
      <c r="I24" s="25"/>
    </row>
    <row r="25" spans="3:9" s="15" customFormat="1" x14ac:dyDescent="0.2">
      <c r="C25" s="30"/>
      <c r="D25" s="391"/>
      <c r="E25" s="391"/>
      <c r="F25" s="391"/>
      <c r="G25" s="391"/>
      <c r="H25" s="391"/>
      <c r="I25" s="391"/>
    </row>
    <row r="26" spans="3:9" s="15" customFormat="1" x14ac:dyDescent="0.2">
      <c r="C26" s="5"/>
      <c r="D26" s="5"/>
      <c r="E26" s="5"/>
      <c r="F26" s="5"/>
      <c r="G26" s="5"/>
      <c r="H26" s="5"/>
      <c r="I26" s="5"/>
    </row>
    <row r="27" spans="3:9" s="15" customFormat="1" x14ac:dyDescent="0.2">
      <c r="C27" s="2"/>
      <c r="D27" s="391"/>
      <c r="E27" s="391"/>
      <c r="F27" s="391"/>
      <c r="G27" s="391"/>
      <c r="H27" s="391"/>
      <c r="I27" s="391"/>
    </row>
    <row r="28" spans="3:9" s="15" customFormat="1" x14ac:dyDescent="0.2">
      <c r="C28" s="2"/>
      <c r="D28" s="28"/>
      <c r="E28" s="28"/>
      <c r="F28" s="28"/>
      <c r="G28" s="28"/>
      <c r="H28" s="28"/>
      <c r="I28" s="28"/>
    </row>
    <row r="29" spans="3:9" s="15" customFormat="1" x14ac:dyDescent="0.2">
      <c r="C29" s="5"/>
      <c r="D29" s="5"/>
      <c r="E29" s="5"/>
      <c r="F29" s="5"/>
      <c r="G29" s="5"/>
      <c r="H29" s="5"/>
      <c r="I29" s="5"/>
    </row>
    <row r="30" spans="3:9" s="15" customFormat="1" x14ac:dyDescent="0.2">
      <c r="C30" s="2"/>
      <c r="D30" s="3"/>
      <c r="E30" s="4"/>
      <c r="F30" s="3"/>
      <c r="G30" s="4"/>
      <c r="H30" s="3"/>
      <c r="I30" s="4"/>
    </row>
    <row r="31" spans="3:9" s="15" customFormat="1" x14ac:dyDescent="0.2">
      <c r="C31" s="5"/>
      <c r="D31" s="6"/>
      <c r="E31" s="7"/>
      <c r="F31" s="6"/>
      <c r="G31" s="7"/>
      <c r="H31" s="6"/>
      <c r="I31" s="7"/>
    </row>
    <row r="32" spans="3:9" s="15" customFormat="1" x14ac:dyDescent="0.2">
      <c r="C32" s="5"/>
      <c r="D32" s="10"/>
      <c r="E32" s="11"/>
      <c r="F32" s="6"/>
      <c r="G32" s="8"/>
      <c r="H32" s="6"/>
      <c r="I32" s="8"/>
    </row>
    <row r="33" spans="3:9" s="15" customFormat="1" x14ac:dyDescent="0.2">
      <c r="C33" s="5"/>
      <c r="D33" s="10"/>
      <c r="E33" s="11"/>
      <c r="F33" s="6"/>
      <c r="G33" s="8"/>
      <c r="H33" s="6"/>
      <c r="I33" s="8"/>
    </row>
    <row r="34" spans="3:9" s="15" customFormat="1" x14ac:dyDescent="0.2">
      <c r="C34" s="5"/>
      <c r="D34" s="10"/>
      <c r="E34" s="11"/>
      <c r="F34" s="6"/>
      <c r="G34" s="8"/>
      <c r="H34" s="6"/>
      <c r="I34" s="8"/>
    </row>
    <row r="35" spans="3:9" s="15" customFormat="1" x14ac:dyDescent="0.2">
      <c r="C35" s="5"/>
      <c r="D35" s="10"/>
      <c r="E35" s="11"/>
      <c r="F35" s="6"/>
      <c r="G35" s="8"/>
      <c r="H35" s="6"/>
      <c r="I35" s="8"/>
    </row>
    <row r="36" spans="3:9" s="15" customFormat="1" x14ac:dyDescent="0.2">
      <c r="C36" s="5"/>
      <c r="D36" s="10"/>
      <c r="E36" s="11"/>
      <c r="F36" s="6"/>
      <c r="G36" s="8"/>
      <c r="H36" s="6"/>
      <c r="I36" s="8"/>
    </row>
    <row r="37" spans="3:9" s="15" customFormat="1" ht="15" customHeight="1" x14ac:dyDescent="0.2">
      <c r="C37" s="41"/>
      <c r="D37" s="6"/>
      <c r="E37" s="11"/>
      <c r="F37" s="6"/>
      <c r="G37" s="8"/>
      <c r="H37" s="6"/>
      <c r="I37" s="8"/>
    </row>
    <row r="38" spans="3:9" s="15" customFormat="1" x14ac:dyDescent="0.2">
      <c r="C38" s="25"/>
      <c r="D38" s="25"/>
      <c r="E38" s="25"/>
      <c r="F38" s="25"/>
      <c r="G38" s="25"/>
      <c r="H38" s="25"/>
      <c r="I38" s="25"/>
    </row>
    <row r="39" spans="3:9" s="15" customFormat="1" x14ac:dyDescent="0.2"/>
    <row r="40" spans="3:9" s="15" customFormat="1" x14ac:dyDescent="0.2"/>
    <row r="41" spans="3:9" s="15" customFormat="1" x14ac:dyDescent="0.2"/>
    <row r="42" spans="3:9" s="15" customFormat="1" x14ac:dyDescent="0.2"/>
    <row r="43" spans="3:9" s="15" customFormat="1" x14ac:dyDescent="0.2"/>
    <row r="44" spans="3:9" s="15" customFormat="1" x14ac:dyDescent="0.2"/>
    <row r="45" spans="3:9" s="15" customFormat="1" x14ac:dyDescent="0.2"/>
    <row r="46" spans="3:9" s="15" customFormat="1" x14ac:dyDescent="0.2"/>
    <row r="47" spans="3:9" s="15" customFormat="1" x14ac:dyDescent="0.2"/>
    <row r="48" spans="3:9" s="15" customFormat="1" x14ac:dyDescent="0.2"/>
    <row r="49" spans="3:3" s="15" customFormat="1" x14ac:dyDescent="0.2"/>
    <row r="50" spans="3:3" s="15" customFormat="1" x14ac:dyDescent="0.2">
      <c r="C50" s="29" t="s">
        <v>38</v>
      </c>
    </row>
    <row r="51" spans="3:3" s="15" customFormat="1" x14ac:dyDescent="0.2"/>
  </sheetData>
  <mergeCells count="9">
    <mergeCell ref="C6:J6"/>
    <mergeCell ref="D27:E27"/>
    <mergeCell ref="F27:G27"/>
    <mergeCell ref="H27:I27"/>
    <mergeCell ref="D7:I7"/>
    <mergeCell ref="D9:E9"/>
    <mergeCell ref="F9:G9"/>
    <mergeCell ref="H9:I9"/>
    <mergeCell ref="D25:I25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6321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28575</xdr:rowOff>
              </from>
              <to>
                <xdr:col>1</xdr:col>
                <xdr:colOff>304800</xdr:colOff>
                <xdr:row>2</xdr:row>
                <xdr:rowOff>152400</xdr:rowOff>
              </to>
            </anchor>
          </objectPr>
        </oleObject>
      </mc:Choice>
      <mc:Fallback>
        <oleObject progId="MSPhotoEd.3" shapeId="563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.0</vt:lpstr>
      <vt:lpstr>.01</vt:lpstr>
      <vt:lpstr>.02</vt:lpstr>
      <vt:lpstr>.02cp2</vt:lpstr>
      <vt:lpstr>.03</vt:lpstr>
      <vt:lpstr>.04</vt:lpstr>
      <vt:lpstr>Life Table</vt:lpstr>
      <vt:lpstr>.06</vt:lpstr>
      <vt:lpstr>.01 Fig</vt:lpstr>
      <vt:lpstr>.07</vt:lpstr>
      <vt:lpstr>.08</vt:lpstr>
      <vt:lpstr>.09</vt:lpstr>
      <vt:lpstr>.10</vt:lpstr>
      <vt:lpstr>.11</vt:lpstr>
      <vt:lpstr>.12</vt:lpstr>
      <vt:lpstr>.13</vt:lpstr>
      <vt:lpstr>1.14</vt:lpstr>
      <vt:lpstr>1.15</vt:lpstr>
      <vt:lpstr>'.0'!Print_Area</vt:lpstr>
      <vt:lpstr>'.01'!Print_Area</vt:lpstr>
      <vt:lpstr>'.01 Fig'!Print_Area</vt:lpstr>
      <vt:lpstr>'.02'!Print_Area</vt:lpstr>
      <vt:lpstr>'.02cp2'!Print_Area</vt:lpstr>
      <vt:lpstr>'.03'!Print_Area</vt:lpstr>
      <vt:lpstr>'.04'!Print_Area</vt:lpstr>
      <vt:lpstr>'.06'!Print_Area</vt:lpstr>
      <vt:lpstr>'.07'!Print_Area</vt:lpstr>
      <vt:lpstr>'.08'!Print_Area</vt:lpstr>
      <vt:lpstr>'.09'!Print_Area</vt:lpstr>
      <vt:lpstr>'.10'!Print_Area</vt:lpstr>
      <vt:lpstr>'.11'!Print_Area</vt:lpstr>
      <vt:lpstr>'.12'!Print_Area</vt:lpstr>
      <vt:lpstr>'.13'!Print_Area</vt:lpstr>
      <vt:lpstr>'1.14'!Print_Area</vt:lpstr>
      <vt:lpstr>'1.15'!Print_Area</vt:lpstr>
      <vt:lpstr>'Life Table'!Print_Area</vt:lpstr>
    </vt:vector>
  </TitlesOfParts>
  <Company>CIG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</dc:creator>
  <cp:lastModifiedBy>Ebanks, Narnia</cp:lastModifiedBy>
  <cp:lastPrinted>2025-05-22T14:38:38Z</cp:lastPrinted>
  <dcterms:created xsi:type="dcterms:W3CDTF">2012-06-11T20:18:28Z</dcterms:created>
  <dcterms:modified xsi:type="dcterms:W3CDTF">2025-12-05T15:16:18Z</dcterms:modified>
</cp:coreProperties>
</file>