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5.xml" ContentType="application/vnd.openxmlformats-officedocument.drawing+xml"/>
  <Override PartName="/xl/embeddings/oleObject6.bin" ContentType="application/vnd.openxmlformats-officedocument.oleObject"/>
  <Override PartName="/xl/drawings/drawing6.xml" ContentType="application/vnd.openxmlformats-officedocument.drawing+xml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755"/>
  </bookViews>
  <sheets>
    <sheet name=".01" sheetId="2" r:id="rId1"/>
    <sheet name=".02" sheetId="3" r:id="rId2"/>
    <sheet name=".03" sheetId="4" r:id="rId3"/>
    <sheet name=".04" sheetId="5" r:id="rId4"/>
    <sheet name=".05" sheetId="6" r:id="rId5"/>
    <sheet name=".06" sheetId="7" r:id="rId6"/>
  </sheets>
  <externalReferences>
    <externalReference r:id="rId7"/>
  </externalReferences>
  <definedNames>
    <definedName name="_xlnm.Print_Area" localSheetId="0">'.01'!$A$1:$L$94</definedName>
    <definedName name="_xlnm.Print_Area" localSheetId="1">'.02'!$A$1:$AL$72</definedName>
    <definedName name="_xlnm.Print_Area" localSheetId="2">'.03'!$A$1:$BF$63</definedName>
    <definedName name="_xlnm.Print_Area" localSheetId="4">'.05'!$A$1:$K$415</definedName>
    <definedName name="_xlnm.Print_Area" localSheetId="5">'.06'!$A$1:$S$72</definedName>
  </definedNames>
  <calcPr calcId="145621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6" i="7" l="1"/>
  <c r="F34" i="6" l="1"/>
  <c r="G34" i="6" s="1"/>
  <c r="BF14" i="4"/>
  <c r="BG14" i="4" s="1"/>
  <c r="AL35" i="3"/>
  <c r="AL34" i="3"/>
  <c r="AL33" i="3"/>
  <c r="AL32" i="3"/>
  <c r="AL31" i="3"/>
  <c r="AL30" i="3"/>
  <c r="AL29" i="3"/>
  <c r="AL28" i="3"/>
  <c r="AL27" i="3"/>
  <c r="AK14" i="3"/>
  <c r="AL14" i="3" s="1"/>
  <c r="I66" i="2"/>
  <c r="J66" i="2"/>
  <c r="F66" i="2"/>
  <c r="AL17" i="3" l="1"/>
  <c r="AL20" i="3"/>
  <c r="AL38" i="3"/>
  <c r="BG17" i="4"/>
  <c r="BG29" i="4"/>
  <c r="BG20" i="4"/>
  <c r="BG32" i="4"/>
  <c r="BG44" i="4"/>
  <c r="BG23" i="4"/>
  <c r="BG35" i="4"/>
  <c r="BG47" i="4"/>
  <c r="BG41" i="4"/>
  <c r="BG26" i="4"/>
  <c r="BG38" i="4"/>
  <c r="BG50" i="4"/>
  <c r="AL23" i="3"/>
  <c r="AL26" i="3"/>
  <c r="J65" i="2" l="1"/>
  <c r="K66" i="2" s="1"/>
  <c r="Q36" i="7" l="1"/>
  <c r="F33" i="6"/>
  <c r="G33" i="6" s="1"/>
  <c r="BD14" i="4" l="1"/>
  <c r="BE41" i="4" l="1"/>
  <c r="BE26" i="4"/>
  <c r="BE14" i="4"/>
  <c r="BE50" i="4"/>
  <c r="BE38" i="4"/>
  <c r="BE23" i="4"/>
  <c r="BE47" i="4"/>
  <c r="BE32" i="4"/>
  <c r="BE20" i="4"/>
  <c r="BE44" i="4"/>
  <c r="BE29" i="4"/>
  <c r="BE17" i="4"/>
  <c r="AJ35" i="3"/>
  <c r="AJ34" i="3"/>
  <c r="AJ33" i="3"/>
  <c r="AJ32" i="3"/>
  <c r="AJ31" i="3"/>
  <c r="AJ30" i="3"/>
  <c r="AJ29" i="3"/>
  <c r="AJ28" i="3"/>
  <c r="AJ27" i="3"/>
  <c r="AI14" i="3"/>
  <c r="I65" i="2"/>
  <c r="F65" i="2"/>
  <c r="AJ23" i="3" l="1"/>
  <c r="AJ14" i="3"/>
  <c r="AJ26" i="3"/>
  <c r="AJ38" i="3"/>
  <c r="AJ17" i="3"/>
  <c r="AB27" i="3"/>
  <c r="AB28" i="3"/>
  <c r="AB29" i="3"/>
  <c r="AB30" i="3"/>
  <c r="AB31" i="3"/>
  <c r="AB32" i="3"/>
  <c r="AB33" i="3"/>
  <c r="AB34" i="3"/>
  <c r="AB35" i="3"/>
  <c r="AD27" i="3"/>
  <c r="AD28" i="3"/>
  <c r="AD29" i="3"/>
  <c r="AD30" i="3"/>
  <c r="AD31" i="3"/>
  <c r="AD32" i="3"/>
  <c r="AD33" i="3"/>
  <c r="AD34" i="3"/>
  <c r="AD35" i="3"/>
  <c r="AF27" i="3"/>
  <c r="AF28" i="3"/>
  <c r="AF29" i="3"/>
  <c r="AF30" i="3"/>
  <c r="AF31" i="3"/>
  <c r="AF32" i="3"/>
  <c r="AF33" i="3"/>
  <c r="AF34" i="3"/>
  <c r="AF35" i="3"/>
  <c r="AC14" i="3"/>
  <c r="AD38" i="3" s="1"/>
  <c r="W14" i="3"/>
  <c r="X14" i="3" s="1"/>
  <c r="Y14" i="3"/>
  <c r="Z38" i="3" s="1"/>
  <c r="AA14" i="3"/>
  <c r="AB23" i="3" s="1"/>
  <c r="AE14" i="3"/>
  <c r="AF23" i="3" s="1"/>
  <c r="AG14" i="3"/>
  <c r="AH38" i="3" s="1"/>
  <c r="Z28" i="3" l="1"/>
  <c r="AB17" i="3"/>
  <c r="AD20" i="3"/>
  <c r="Z35" i="3"/>
  <c r="Z27" i="3"/>
  <c r="AB14" i="3"/>
  <c r="AF17" i="3"/>
  <c r="Z32" i="3"/>
  <c r="Z20" i="3"/>
  <c r="AB26" i="3"/>
  <c r="AF26" i="3"/>
  <c r="Z31" i="3"/>
  <c r="Z23" i="3"/>
  <c r="AB38" i="3"/>
  <c r="AH20" i="3"/>
  <c r="AD23" i="3"/>
  <c r="AH23" i="3"/>
  <c r="X17" i="3"/>
  <c r="Z34" i="3"/>
  <c r="Z30" i="3"/>
  <c r="Z17" i="3"/>
  <c r="Z26" i="3"/>
  <c r="AB20" i="3"/>
  <c r="AD17" i="3"/>
  <c r="AD26" i="3"/>
  <c r="AF20" i="3"/>
  <c r="AH17" i="3"/>
  <c r="AH26" i="3"/>
  <c r="X26" i="3"/>
  <c r="AF14" i="3"/>
  <c r="AF38" i="3"/>
  <c r="X38" i="3"/>
  <c r="Z33" i="3"/>
  <c r="Z29" i="3"/>
  <c r="Z14" i="3"/>
  <c r="AD14" i="3"/>
  <c r="AH14" i="3"/>
  <c r="P36" i="7"/>
  <c r="G32" i="6"/>
  <c r="BB14" i="4"/>
  <c r="BC41" i="4" s="1"/>
  <c r="AH35" i="3"/>
  <c r="AH34" i="3"/>
  <c r="AH33" i="3"/>
  <c r="AH32" i="3"/>
  <c r="AH31" i="3"/>
  <c r="AH30" i="3"/>
  <c r="AH29" i="3"/>
  <c r="AH28" i="3"/>
  <c r="AH27" i="3"/>
  <c r="I64" i="2"/>
  <c r="F64" i="2"/>
  <c r="J64" i="2"/>
  <c r="O36" i="7"/>
  <c r="G22" i="5"/>
  <c r="G21" i="5"/>
  <c r="G20" i="5"/>
  <c r="G19" i="5"/>
  <c r="G18" i="5"/>
  <c r="F31" i="6"/>
  <c r="G31" i="6"/>
  <c r="AZ14" i="4"/>
  <c r="BA35" i="4" s="1"/>
  <c r="BA41" i="4"/>
  <c r="BA17" i="4"/>
  <c r="BA32" i="4"/>
  <c r="J63" i="2"/>
  <c r="J62" i="2"/>
  <c r="I63" i="2"/>
  <c r="F63" i="2"/>
  <c r="I40" i="2"/>
  <c r="J61" i="2"/>
  <c r="I58" i="2"/>
  <c r="I59" i="2"/>
  <c r="F59" i="2"/>
  <c r="F58" i="2"/>
  <c r="F62" i="2"/>
  <c r="F30" i="6"/>
  <c r="G30" i="6"/>
  <c r="F29" i="6"/>
  <c r="G29" i="6" s="1"/>
  <c r="AX14" i="4"/>
  <c r="AY32" i="4" s="1"/>
  <c r="AV14" i="4"/>
  <c r="AW17" i="4" s="1"/>
  <c r="AT14" i="4"/>
  <c r="AR14" i="4"/>
  <c r="AU41" i="4" s="1"/>
  <c r="E44" i="2"/>
  <c r="F46" i="2" s="1"/>
  <c r="I62" i="2"/>
  <c r="AY41" i="4"/>
  <c r="AY23" i="4"/>
  <c r="AY26" i="4"/>
  <c r="J36" i="7"/>
  <c r="I36" i="7"/>
  <c r="H36" i="7"/>
  <c r="G36" i="7"/>
  <c r="F36" i="7"/>
  <c r="E36" i="7"/>
  <c r="G26" i="7"/>
  <c r="F26" i="7"/>
  <c r="E26" i="7"/>
  <c r="G28" i="6"/>
  <c r="F27" i="6"/>
  <c r="E27" i="6"/>
  <c r="G27" i="6" s="1"/>
  <c r="F26" i="6"/>
  <c r="E26" i="6"/>
  <c r="G26" i="6" s="1"/>
  <c r="F25" i="6"/>
  <c r="E25" i="6"/>
  <c r="G25" i="6"/>
  <c r="F24" i="6"/>
  <c r="E24" i="6"/>
  <c r="F23" i="6"/>
  <c r="E23" i="6"/>
  <c r="F22" i="6"/>
  <c r="E22" i="6"/>
  <c r="G22" i="6" s="1"/>
  <c r="F21" i="6"/>
  <c r="E21" i="6"/>
  <c r="G21" i="6" s="1"/>
  <c r="F18" i="6"/>
  <c r="E18" i="6"/>
  <c r="F17" i="6"/>
  <c r="E17" i="6"/>
  <c r="F16" i="6"/>
  <c r="E16" i="6"/>
  <c r="G16" i="6" s="1"/>
  <c r="F15" i="6"/>
  <c r="E15" i="6"/>
  <c r="G15" i="6"/>
  <c r="G14" i="6"/>
  <c r="F14" i="6"/>
  <c r="AE50" i="4"/>
  <c r="AD50" i="4"/>
  <c r="AC50" i="4"/>
  <c r="AE47" i="4"/>
  <c r="AD47" i="4"/>
  <c r="AC47" i="4"/>
  <c r="AE44" i="4"/>
  <c r="AD44" i="4"/>
  <c r="AC44" i="4"/>
  <c r="AE41" i="4"/>
  <c r="AD41" i="4"/>
  <c r="AC41" i="4"/>
  <c r="AE38" i="4"/>
  <c r="AD38" i="4"/>
  <c r="AC38" i="4"/>
  <c r="AE35" i="4"/>
  <c r="AD35" i="4"/>
  <c r="AC35" i="4"/>
  <c r="AE32" i="4"/>
  <c r="AD32" i="4"/>
  <c r="AC32" i="4"/>
  <c r="AE29" i="4"/>
  <c r="AD29" i="4"/>
  <c r="AC29" i="4"/>
  <c r="AE26" i="4"/>
  <c r="AD26" i="4"/>
  <c r="AC26" i="4"/>
  <c r="AE23" i="4"/>
  <c r="AD23" i="4"/>
  <c r="AC23" i="4"/>
  <c r="AB23" i="4"/>
  <c r="AE20" i="4"/>
  <c r="AD20" i="4"/>
  <c r="AC20" i="4"/>
  <c r="AB20" i="4"/>
  <c r="AE17" i="4"/>
  <c r="AD17" i="4"/>
  <c r="AC17" i="4"/>
  <c r="AB17" i="4"/>
  <c r="AP14" i="4"/>
  <c r="AQ50" i="4" s="1"/>
  <c r="AN14" i="4"/>
  <c r="AO32" i="4" s="1"/>
  <c r="AL14" i="4"/>
  <c r="AM50" i="4" s="1"/>
  <c r="AJ14" i="4"/>
  <c r="AK29" i="4" s="1"/>
  <c r="AI14" i="4"/>
  <c r="AH14" i="4"/>
  <c r="AG14" i="4"/>
  <c r="AF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B7" i="4"/>
  <c r="K38" i="3"/>
  <c r="K14" i="3" s="1"/>
  <c r="K34" i="3" s="1"/>
  <c r="J38" i="3"/>
  <c r="I38" i="3"/>
  <c r="H38" i="3"/>
  <c r="G38" i="3"/>
  <c r="G14" i="3" s="1"/>
  <c r="G34" i="3" s="1"/>
  <c r="M23" i="3"/>
  <c r="M14" i="3" s="1"/>
  <c r="J23" i="3"/>
  <c r="I23" i="3"/>
  <c r="H23" i="3"/>
  <c r="J20" i="3"/>
  <c r="I20" i="3"/>
  <c r="H20" i="3"/>
  <c r="J17" i="3"/>
  <c r="I17" i="3"/>
  <c r="H17" i="3"/>
  <c r="X20" i="3"/>
  <c r="U14" i="3"/>
  <c r="V38" i="3" s="1"/>
  <c r="S14" i="3"/>
  <c r="T23" i="3" s="1"/>
  <c r="Q14" i="3"/>
  <c r="R38" i="3" s="1"/>
  <c r="O14" i="3"/>
  <c r="P17" i="3" s="1"/>
  <c r="N14" i="3"/>
  <c r="L14" i="3"/>
  <c r="F14" i="3"/>
  <c r="F34" i="3" s="1"/>
  <c r="E14" i="3"/>
  <c r="E34" i="3" s="1"/>
  <c r="D14" i="3"/>
  <c r="D34" i="3" s="1"/>
  <c r="M89" i="2"/>
  <c r="L89" i="2"/>
  <c r="Q77" i="2"/>
  <c r="P77" i="2"/>
  <c r="Q76" i="2"/>
  <c r="P76" i="2"/>
  <c r="Q75" i="2"/>
  <c r="P75" i="2"/>
  <c r="Q74" i="2"/>
  <c r="P74" i="2"/>
  <c r="Q73" i="2"/>
  <c r="P73" i="2"/>
  <c r="R73" i="2" s="1"/>
  <c r="Q72" i="2"/>
  <c r="P72" i="2"/>
  <c r="Q70" i="2"/>
  <c r="I61" i="2"/>
  <c r="F61" i="2"/>
  <c r="J60" i="2"/>
  <c r="I60" i="2"/>
  <c r="F60" i="2"/>
  <c r="J59" i="2"/>
  <c r="J58" i="2"/>
  <c r="J56" i="2"/>
  <c r="I56" i="2"/>
  <c r="F56" i="2"/>
  <c r="J55" i="2"/>
  <c r="I55" i="2"/>
  <c r="F55" i="2"/>
  <c r="J54" i="2"/>
  <c r="K55" i="2" s="1"/>
  <c r="I54" i="2"/>
  <c r="F54" i="2"/>
  <c r="J53" i="2"/>
  <c r="I53" i="2"/>
  <c r="F53" i="2"/>
  <c r="J52" i="2"/>
  <c r="I52" i="2"/>
  <c r="F52" i="2"/>
  <c r="J50" i="2"/>
  <c r="I50" i="2"/>
  <c r="I49" i="2"/>
  <c r="P70" i="2"/>
  <c r="J48" i="2"/>
  <c r="H47" i="2"/>
  <c r="I48" i="2" s="1"/>
  <c r="F47" i="2"/>
  <c r="H46" i="2"/>
  <c r="J46" i="2" s="1"/>
  <c r="H44" i="2"/>
  <c r="I44" i="2" s="1"/>
  <c r="F44" i="2"/>
  <c r="J43" i="2"/>
  <c r="I43" i="2"/>
  <c r="F43" i="2"/>
  <c r="J42" i="2"/>
  <c r="I42" i="2"/>
  <c r="F42" i="2"/>
  <c r="J41" i="2"/>
  <c r="J40" i="2"/>
  <c r="K41" i="2" s="1"/>
  <c r="I41" i="2"/>
  <c r="F41" i="2"/>
  <c r="F40" i="2"/>
  <c r="I38" i="2"/>
  <c r="F38" i="2"/>
  <c r="I37" i="2"/>
  <c r="F37" i="2"/>
  <c r="I36" i="2"/>
  <c r="F36" i="2"/>
  <c r="I35" i="2"/>
  <c r="F35" i="2"/>
  <c r="I34" i="2"/>
  <c r="F34" i="2"/>
  <c r="I33" i="2"/>
  <c r="F33" i="2"/>
  <c r="I32" i="2"/>
  <c r="F32" i="2"/>
  <c r="I31" i="2"/>
  <c r="F31" i="2"/>
  <c r="I30" i="2"/>
  <c r="F30" i="2"/>
  <c r="I29" i="2"/>
  <c r="F29" i="2"/>
  <c r="I28" i="2"/>
  <c r="F28" i="2"/>
  <c r="I27" i="2"/>
  <c r="F27" i="2"/>
  <c r="I26" i="2"/>
  <c r="F26" i="2"/>
  <c r="I25" i="2"/>
  <c r="F25" i="2"/>
  <c r="I24" i="2"/>
  <c r="F24" i="2"/>
  <c r="I23" i="2"/>
  <c r="F23" i="2"/>
  <c r="I22" i="2"/>
  <c r="F22" i="2"/>
  <c r="I21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F14" i="2"/>
  <c r="AW20" i="4"/>
  <c r="K56" i="2"/>
  <c r="F48" i="2"/>
  <c r="F49" i="2"/>
  <c r="J49" i="2"/>
  <c r="K50" i="2" s="1"/>
  <c r="F50" i="2"/>
  <c r="X23" i="3"/>
  <c r="T38" i="3"/>
  <c r="AM44" i="4"/>
  <c r="AM47" i="4"/>
  <c r="AM48" i="4"/>
  <c r="AW50" i="4"/>
  <c r="D31" i="3"/>
  <c r="AW41" i="4"/>
  <c r="K49" i="2"/>
  <c r="D28" i="3" l="1"/>
  <c r="AM38" i="4"/>
  <c r="AM32" i="4"/>
  <c r="AM35" i="4"/>
  <c r="AM29" i="4"/>
  <c r="G24" i="6"/>
  <c r="AM23" i="4"/>
  <c r="AO14" i="4"/>
  <c r="K60" i="2"/>
  <c r="BA23" i="4"/>
  <c r="R70" i="2"/>
  <c r="AM14" i="4"/>
  <c r="BA44" i="4"/>
  <c r="AO38" i="4"/>
  <c r="AW26" i="4"/>
  <c r="J47" i="2"/>
  <c r="K48" i="2" s="1"/>
  <c r="K42" i="2"/>
  <c r="R77" i="2"/>
  <c r="AO17" i="4"/>
  <c r="P23" i="3"/>
  <c r="R74" i="2"/>
  <c r="AQ44" i="4"/>
  <c r="T14" i="3"/>
  <c r="AK47" i="4"/>
  <c r="G23" i="6"/>
  <c r="BA47" i="4"/>
  <c r="BA14" i="4" s="1"/>
  <c r="AB14" i="4"/>
  <c r="AK44" i="4"/>
  <c r="AS26" i="4"/>
  <c r="AS50" i="4"/>
  <c r="G18" i="6"/>
  <c r="K63" i="2"/>
  <c r="AQ38" i="4"/>
  <c r="I47" i="2"/>
  <c r="K52" i="2"/>
  <c r="G17" i="6"/>
  <c r="BA38" i="4"/>
  <c r="BA29" i="4"/>
  <c r="BA50" i="4"/>
  <c r="R76" i="2"/>
  <c r="AU23" i="4"/>
  <c r="AU47" i="4"/>
  <c r="F28" i="3"/>
  <c r="P38" i="3"/>
  <c r="R72" i="2"/>
  <c r="AU35" i="4"/>
  <c r="AS38" i="4"/>
  <c r="K59" i="2"/>
  <c r="K58" i="2"/>
  <c r="AO35" i="4"/>
  <c r="AO26" i="4"/>
  <c r="AO50" i="4"/>
  <c r="AO20" i="4"/>
  <c r="AU26" i="4"/>
  <c r="AS29" i="4"/>
  <c r="AU38" i="4"/>
  <c r="AS41" i="4"/>
  <c r="AU50" i="4"/>
  <c r="AK35" i="4"/>
  <c r="AK23" i="4"/>
  <c r="AQ26" i="4"/>
  <c r="AK20" i="4"/>
  <c r="AU17" i="4"/>
  <c r="AW38" i="4"/>
  <c r="AW29" i="4"/>
  <c r="AM20" i="4"/>
  <c r="AQ20" i="4"/>
  <c r="AM41" i="4"/>
  <c r="AQ32" i="4"/>
  <c r="AM26" i="4"/>
  <c r="AM17" i="4"/>
  <c r="AO47" i="4"/>
  <c r="AS20" i="4"/>
  <c r="BA26" i="4"/>
  <c r="BA20" i="4"/>
  <c r="AU20" i="4"/>
  <c r="AS32" i="4"/>
  <c r="AS44" i="4"/>
  <c r="AY47" i="4"/>
  <c r="AK32" i="4"/>
  <c r="AO23" i="4"/>
  <c r="AK17" i="4"/>
  <c r="AQ47" i="4"/>
  <c r="AQ41" i="4"/>
  <c r="AQ35" i="4"/>
  <c r="AQ29" i="4"/>
  <c r="AQ23" i="4"/>
  <c r="AQ17" i="4"/>
  <c r="AS17" i="4"/>
  <c r="AS23" i="4"/>
  <c r="AU32" i="4"/>
  <c r="AS35" i="4"/>
  <c r="AC14" i="4"/>
  <c r="AU44" i="4"/>
  <c r="AS47" i="4"/>
  <c r="AE14" i="4"/>
  <c r="AY38" i="4"/>
  <c r="AY35" i="4"/>
  <c r="AY20" i="4"/>
  <c r="AY50" i="4"/>
  <c r="BC44" i="4"/>
  <c r="AD14" i="4"/>
  <c r="AY29" i="4"/>
  <c r="AY44" i="4"/>
  <c r="AY17" i="4"/>
  <c r="BC20" i="4"/>
  <c r="AU29" i="4"/>
  <c r="BC32" i="4"/>
  <c r="T20" i="3"/>
  <c r="I14" i="3"/>
  <c r="I34" i="3" s="1"/>
  <c r="R14" i="3"/>
  <c r="G28" i="3"/>
  <c r="R17" i="3"/>
  <c r="F31" i="3"/>
  <c r="R23" i="3"/>
  <c r="G31" i="3"/>
  <c r="R20" i="3"/>
  <c r="H14" i="3"/>
  <c r="H31" i="3" s="1"/>
  <c r="P20" i="3"/>
  <c r="J14" i="3"/>
  <c r="J28" i="3" s="1"/>
  <c r="K43" i="2"/>
  <c r="K61" i="2"/>
  <c r="R75" i="2"/>
  <c r="K62" i="2"/>
  <c r="K54" i="2"/>
  <c r="K64" i="2"/>
  <c r="K65" i="2"/>
  <c r="AW47" i="4"/>
  <c r="BC17" i="4"/>
  <c r="BC26" i="4"/>
  <c r="BC38" i="4"/>
  <c r="BC50" i="4"/>
  <c r="E31" i="3"/>
  <c r="E28" i="3"/>
  <c r="V17" i="3"/>
  <c r="J44" i="2"/>
  <c r="BC23" i="4"/>
  <c r="BC35" i="4"/>
  <c r="BC47" i="4"/>
  <c r="AW44" i="4"/>
  <c r="AO41" i="4"/>
  <c r="AK38" i="4"/>
  <c r="AW32" i="4"/>
  <c r="AO29" i="4"/>
  <c r="AK26" i="4"/>
  <c r="T17" i="3"/>
  <c r="AK50" i="4"/>
  <c r="AK14" i="4"/>
  <c r="K31" i="3"/>
  <c r="K28" i="3"/>
  <c r="V20" i="3"/>
  <c r="P14" i="3"/>
  <c r="K53" i="2"/>
  <c r="I46" i="2"/>
  <c r="AO44" i="4"/>
  <c r="AK41" i="4"/>
  <c r="AW35" i="4"/>
  <c r="AW23" i="4"/>
  <c r="V23" i="3"/>
  <c r="V14" i="3"/>
  <c r="BC14" i="4"/>
  <c r="BC29" i="4"/>
  <c r="K47" i="2" l="1"/>
  <c r="I28" i="3"/>
  <c r="I31" i="3"/>
  <c r="AQ14" i="4"/>
  <c r="AW14" i="4"/>
  <c r="AY14" i="4"/>
  <c r="J34" i="3"/>
  <c r="H28" i="3"/>
  <c r="H34" i="3"/>
  <c r="J31" i="3"/>
  <c r="K46" i="2"/>
  <c r="K44" i="2"/>
</calcChain>
</file>

<file path=xl/sharedStrings.xml><?xml version="1.0" encoding="utf-8"?>
<sst xmlns="http://schemas.openxmlformats.org/spreadsheetml/2006/main" count="242" uniqueCount="115">
  <si>
    <t>Air Arrivals</t>
  </si>
  <si>
    <t>Sea (Cruise Ship) Arrivals</t>
  </si>
  <si>
    <t>Total Visitors</t>
  </si>
  <si>
    <t>Year</t>
  </si>
  <si>
    <t>Visitors            ('000)</t>
  </si>
  <si>
    <t>Percent Change</t>
  </si>
  <si>
    <t>Ship Calls</t>
  </si>
  <si>
    <t>Visitors   ('000)</t>
  </si>
  <si>
    <t>...</t>
  </si>
  <si>
    <t>.</t>
  </si>
  <si>
    <t>Total Arrivals</t>
  </si>
  <si>
    <t xml:space="preserve"> </t>
  </si>
  <si>
    <t>Note:</t>
  </si>
  <si>
    <t>Cruise ship passengers generally come ashore for less than a day.</t>
  </si>
  <si>
    <t>New series started in 2000 - returning residents were included in air arrivals data prior to 2000.</t>
  </si>
  <si>
    <t xml:space="preserve">Air Arrivals  </t>
  </si>
  <si>
    <t>Ship Arrivals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</si>
  <si>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Department of Tourism</t>
    </r>
  </si>
  <si>
    <t>('000) and %</t>
  </si>
  <si>
    <t>Country of Origin</t>
  </si>
  <si>
    <r>
      <t xml:space="preserve">2000 </t>
    </r>
    <r>
      <rPr>
        <b/>
        <vertAlign val="superscript"/>
        <sz val="10"/>
        <rFont val="Arial"/>
        <family val="2"/>
      </rPr>
      <t>1</t>
    </r>
  </si>
  <si>
    <t>#</t>
  </si>
  <si>
    <t>%</t>
  </si>
  <si>
    <t>All Countries</t>
  </si>
  <si>
    <t>U.S.A.</t>
  </si>
  <si>
    <t>Canada</t>
  </si>
  <si>
    <t>Europe</t>
  </si>
  <si>
    <t>Japan*</t>
  </si>
  <si>
    <t>Jamaica*</t>
  </si>
  <si>
    <t>Other Caribbean*</t>
  </si>
  <si>
    <t>Rest of World</t>
  </si>
  <si>
    <t>Month of Arrival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</si>
  <si>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</si>
  <si>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</si>
  <si>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</si>
  <si>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</si>
  <si>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</si>
  <si>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</si>
  <si>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</si>
  <si>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</si>
  <si>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</si>
  <si>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</si>
  <si>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</si>
  <si>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</si>
  <si>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</si>
  <si>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Percent</t>
  </si>
  <si>
    <t>Sex</t>
  </si>
  <si>
    <t xml:space="preserve">  Female</t>
  </si>
  <si>
    <t xml:space="preserve">  Male</t>
  </si>
  <si>
    <t>Age</t>
  </si>
  <si>
    <t xml:space="preserve">  0-18</t>
  </si>
  <si>
    <t xml:space="preserve">  19-35</t>
  </si>
  <si>
    <t xml:space="preserve">  36-49</t>
  </si>
  <si>
    <t xml:space="preserve">  50-60</t>
  </si>
  <si>
    <t xml:space="preserve">  60+</t>
  </si>
  <si>
    <t xml:space="preserve">  Unknown</t>
  </si>
  <si>
    <t>Occupation</t>
  </si>
  <si>
    <t xml:space="preserve">  Managerial</t>
  </si>
  <si>
    <t xml:space="preserve">  Professional</t>
  </si>
  <si>
    <t xml:space="preserve">  Student</t>
  </si>
  <si>
    <t xml:space="preserve">  Retired</t>
  </si>
  <si>
    <t xml:space="preserve">  Service/Trade</t>
  </si>
  <si>
    <t xml:space="preserve">  Other</t>
  </si>
  <si>
    <t>Purpose of visit</t>
  </si>
  <si>
    <t xml:space="preserve">  Recreation</t>
  </si>
  <si>
    <t xml:space="preserve">  Business</t>
  </si>
  <si>
    <t xml:space="preserve">  Visit Friends &amp; Family</t>
  </si>
  <si>
    <t xml:space="preserve">  Dive</t>
  </si>
  <si>
    <t>Previous visits</t>
  </si>
  <si>
    <t xml:space="preserve">  None</t>
  </si>
  <si>
    <t xml:space="preserve">  One</t>
  </si>
  <si>
    <t xml:space="preserve">  Two or more</t>
  </si>
  <si>
    <t>Accommodation</t>
  </si>
  <si>
    <t xml:space="preserve">  Hotel / Guest House</t>
  </si>
  <si>
    <t xml:space="preserve">  Apartment / Condominium</t>
  </si>
  <si>
    <t xml:space="preserve">  Private home</t>
  </si>
  <si>
    <t xml:space="preserve">  Timeshare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</si>
  <si>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Immigration Department and Cayman Islands Department of Tourism</t>
    </r>
  </si>
  <si>
    <t>Number of Rooms</t>
  </si>
  <si>
    <t>..</t>
  </si>
  <si>
    <t>2014*</t>
  </si>
  <si>
    <t>Notes:</t>
  </si>
  <si>
    <t>As of  30th September each year.</t>
  </si>
  <si>
    <t>No data available for 2004 and 2005 due to the severe fluctuations resulting from Hurricane Ivan in September 2004.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</si>
  <si>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Department of Tourism</t>
    </r>
  </si>
  <si>
    <t>Stay over visitors</t>
  </si>
  <si>
    <t>Average length of stay (nights)</t>
  </si>
  <si>
    <t>Average group size</t>
  </si>
  <si>
    <t xml:space="preserve">Expenditure per person per night (CI$) </t>
  </si>
  <si>
    <t>Estimated Total Spending (CI$M)</t>
  </si>
  <si>
    <t>Daily expenditure (CI$)</t>
  </si>
  <si>
    <t>Actual Arrivals (000's)</t>
  </si>
  <si>
    <t>Estimated total spending (CI$M)</t>
  </si>
  <si>
    <t>All visitors (CI$M)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</si>
  <si>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Cayman Islands D</t>
    </r>
    <r>
      <rPr>
        <sz val="10"/>
        <rFont val="Arial"/>
        <family val="2"/>
      </rPr>
      <t xml:space="preserve">epartment of Tourism, Visitor Exit Survey </t>
    </r>
  </si>
  <si>
    <t>2015*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</si>
  <si>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Immigration Department </t>
    </r>
  </si>
  <si>
    <t>Hotels</t>
  </si>
  <si>
    <t>Apartments &amp; Guest Houses</t>
  </si>
  <si>
    <t>2016*</t>
  </si>
  <si>
    <t>* As at December 31</t>
  </si>
  <si>
    <t>Cruise ship visitors*</t>
  </si>
  <si>
    <t>2017*</t>
  </si>
  <si>
    <t>STATISTICAL COMPENDIUM 2017</t>
  </si>
  <si>
    <t>Latin America</t>
  </si>
  <si>
    <r>
      <t xml:space="preserve">Note: </t>
    </r>
    <r>
      <rPr>
        <sz val="10"/>
        <rFont val="Arial"/>
        <family val="2"/>
      </rPr>
      <t>Latin America includes South and Central America</t>
    </r>
  </si>
  <si>
    <t>2018*</t>
  </si>
  <si>
    <t>Visitor Arrivals in the Cayman Islands, 1996 - 2019</t>
  </si>
  <si>
    <t>Tourist Accommodation,  2000 - 2019</t>
  </si>
  <si>
    <t>Visitor Expenditure 2016-2019</t>
  </si>
  <si>
    <t>Estimated Number of landed visitors (000's)</t>
  </si>
  <si>
    <t>COMPENDIUM OF STATISTICS 2019</t>
  </si>
  <si>
    <t>Visitor Air Arrivals, 2013 - 2019</t>
  </si>
  <si>
    <t>Visitor Air Arrivals by Selected Characteristics, 2010 -  2019</t>
  </si>
  <si>
    <t>Visitor Air Arrivals by Country of Origin, 2013 - 2019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</si>
</sst>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\-\ #\ \-"/>
    <numFmt numFmtId="165" formatCode="_(* #,##0.0_);_(* \(#,##0.0\);_(* &quot;-&quot;??_);_(@_)"/>
    <numFmt numFmtId="166" formatCode="0.0"/>
    <numFmt numFmtId="167" formatCode="#,##0.0_);\(#,##0.0\)"/>
    <numFmt numFmtId="168" formatCode="0.0_);\(0.0\)"/>
    <numFmt numFmtId="169" formatCode="_(* #,##0_);_(* \(#,##0\);_(* &quot;-&quot;??_);_(@_)"/>
    <numFmt numFmtId="170" formatCode="0.0%"/>
    <numFmt numFmtId="171" formatCode="\(0\)"/>
    <numFmt numFmtId="172" formatCode="\(0.0\)"/>
    <numFmt numFmtId="173" formatCode="#,##0.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1"/>
      <color indexed="8"/>
      <name val="ARIAL"/>
      <family val="2"/>
    </font>
    <font>
      <b/>
      <vertAlign val="superscript"/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i/>
      <sz val="10"/>
      <name val="Arial"/>
      <family val="2"/>
    </font>
    <font>
      <sz val="10"/>
      <color theme="0" tint="-0.34998626667073579"/>
      <name val="Arial"/>
      <family val="2"/>
    </font>
    <font>
      <sz val="10"/>
      <name val="Verdana"/>
      <family val="2"/>
    </font>
    <font>
      <i/>
      <sz val="9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vertAlign val="superscript"/>
      <sz val="10"/>
      <color rgb="FFFF000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9">
    <xf numFmtId="0" fontId="0" fillId="0" borderId="0" xfId="0"/>
    <xf numFmtId="0" fontId="0" fillId="0" borderId="0" xfId="0" applyFill="1" applyBorder="1"/>
    <xf numFmtId="0" fontId="0" fillId="0" borderId="0" xfId="0" applyFill="1"/>
    <xf numFmtId="165" fontId="11" fillId="0" borderId="0" xfId="1" applyNumberFormat="1" applyFont="1" applyFill="1" applyBorder="1" applyAlignment="1">
      <alignment horizontal="right"/>
    </xf>
    <xf numFmtId="167" fontId="0" fillId="0" borderId="0" xfId="0" applyNumberFormat="1" applyFill="1" applyBorder="1"/>
    <xf numFmtId="165" fontId="14" fillId="0" borderId="0" xfId="1" applyNumberFormat="1" applyFont="1" applyFill="1" applyBorder="1" applyAlignment="1">
      <alignment horizontal="left"/>
    </xf>
    <xf numFmtId="0" fontId="14" fillId="0" borderId="0" xfId="0" applyFont="1" applyFill="1" applyBorder="1"/>
    <xf numFmtId="165" fontId="15" fillId="0" borderId="0" xfId="1" applyNumberFormat="1" applyFont="1" applyFill="1" applyBorder="1" applyAlignment="1">
      <alignment horizontal="right"/>
    </xf>
    <xf numFmtId="0" fontId="5" fillId="0" borderId="0" xfId="0" applyFont="1" applyFill="1"/>
    <xf numFmtId="0" fontId="2" fillId="0" borderId="0" xfId="0" applyFont="1" applyFill="1"/>
    <xf numFmtId="0" fontId="4" fillId="0" borderId="0" xfId="0" applyFont="1" applyFill="1"/>
    <xf numFmtId="166" fontId="0" fillId="0" borderId="0" xfId="0" applyNumberFormat="1" applyFill="1"/>
    <xf numFmtId="167" fontId="0" fillId="0" borderId="0" xfId="0" applyNumberFormat="1" applyFill="1"/>
    <xf numFmtId="167" fontId="0" fillId="0" borderId="0" xfId="1" applyNumberFormat="1" applyFont="1" applyFill="1" applyBorder="1" applyAlignment="1"/>
    <xf numFmtId="167" fontId="0" fillId="0" borderId="0" xfId="1" applyNumberFormat="1" applyFont="1" applyFill="1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Alignment="1">
      <alignment horizontal="right" vertical="center"/>
    </xf>
    <xf numFmtId="167" fontId="0" fillId="0" borderId="1" xfId="0" applyNumberFormat="1" applyFill="1" applyBorder="1"/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7" fillId="0" borderId="0" xfId="0" applyFont="1" applyFill="1"/>
    <xf numFmtId="169" fontId="27" fillId="0" borderId="0" xfId="1" applyNumberFormat="1" applyFont="1" applyFill="1"/>
    <xf numFmtId="169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Continuous"/>
    </xf>
    <xf numFmtId="164" fontId="0" fillId="0" borderId="0" xfId="0" applyNumberForma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17" fillId="0" borderId="0" xfId="0" applyFont="1" applyFill="1"/>
    <xf numFmtId="166" fontId="17" fillId="0" borderId="0" xfId="0" applyNumberFormat="1" applyFont="1" applyFill="1"/>
    <xf numFmtId="0" fontId="10" fillId="0" borderId="0" xfId="0" applyFont="1" applyFill="1" applyAlignment="1">
      <alignment horizontal="right"/>
    </xf>
    <xf numFmtId="0" fontId="10" fillId="0" borderId="0" xfId="0" applyFont="1" applyFill="1"/>
    <xf numFmtId="165" fontId="0" fillId="0" borderId="0" xfId="0" applyNumberFormat="1" applyFill="1"/>
    <xf numFmtId="165" fontId="0" fillId="0" borderId="0" xfId="1" applyNumberFormat="1" applyFont="1" applyFill="1"/>
    <xf numFmtId="3" fontId="0" fillId="0" borderId="0" xfId="0" applyNumberFormat="1" applyFill="1"/>
    <xf numFmtId="0" fontId="0" fillId="0" borderId="0" xfId="0" applyFill="1" applyAlignment="1">
      <alignment horizontal="left"/>
    </xf>
    <xf numFmtId="0" fontId="3" fillId="0" borderId="0" xfId="0" applyFont="1" applyFill="1" applyBorder="1" applyAlignment="1">
      <alignment horizontal="right"/>
    </xf>
    <xf numFmtId="0" fontId="20" fillId="0" borderId="0" xfId="0" applyFont="1" applyFill="1" applyAlignment="1">
      <alignment horizontal="left"/>
    </xf>
    <xf numFmtId="0" fontId="21" fillId="0" borderId="0" xfId="0" applyFont="1" applyFill="1"/>
    <xf numFmtId="0" fontId="21" fillId="0" borderId="0" xfId="0" applyFont="1" applyFill="1" applyAlignment="1"/>
    <xf numFmtId="0" fontId="21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24" fillId="0" borderId="0" xfId="0" applyFont="1" applyFill="1"/>
    <xf numFmtId="0" fontId="0" fillId="0" borderId="0" xfId="0" applyFill="1" applyBorder="1" applyAlignment="1"/>
    <xf numFmtId="0" fontId="25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Continuous"/>
    </xf>
    <xf numFmtId="0" fontId="26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right"/>
    </xf>
    <xf numFmtId="0" fontId="0" fillId="0" borderId="1" xfId="0" applyFill="1" applyBorder="1"/>
    <xf numFmtId="0" fontId="5" fillId="0" borderId="2" xfId="0" applyFont="1" applyFill="1" applyBorder="1"/>
    <xf numFmtId="0" fontId="6" fillId="0" borderId="2" xfId="0" applyFont="1" applyFill="1" applyBorder="1" applyAlignment="1">
      <alignment horizontal="centerContinuous"/>
    </xf>
    <xf numFmtId="0" fontId="7" fillId="0" borderId="3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6" xfId="0" applyFill="1" applyBorder="1"/>
    <xf numFmtId="0" fontId="0" fillId="0" borderId="7" xfId="0" applyFill="1" applyBorder="1"/>
    <xf numFmtId="165" fontId="2" fillId="0" borderId="0" xfId="1" applyNumberFormat="1" applyFont="1" applyFill="1" applyBorder="1"/>
    <xf numFmtId="0" fontId="0" fillId="0" borderId="6" xfId="0" applyFill="1" applyBorder="1" applyAlignment="1">
      <alignment horizontal="right"/>
    </xf>
    <xf numFmtId="1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/>
    </xf>
    <xf numFmtId="166" fontId="0" fillId="0" borderId="6" xfId="0" applyNumberFormat="1" applyFill="1" applyBorder="1"/>
    <xf numFmtId="167" fontId="2" fillId="0" borderId="7" xfId="0" applyNumberFormat="1" applyFont="1" applyFill="1" applyBorder="1"/>
    <xf numFmtId="167" fontId="0" fillId="0" borderId="6" xfId="0" applyNumberFormat="1" applyFill="1" applyBorder="1"/>
    <xf numFmtId="167" fontId="0" fillId="0" borderId="7" xfId="0" applyNumberFormat="1" applyFill="1" applyBorder="1"/>
    <xf numFmtId="166" fontId="0" fillId="0" borderId="0" xfId="0" applyNumberForma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1" fontId="0" fillId="0" borderId="0" xfId="0" applyNumberFormat="1" applyFill="1" applyBorder="1"/>
    <xf numFmtId="0" fontId="9" fillId="0" borderId="0" xfId="0" applyFont="1" applyFill="1" applyBorder="1" applyAlignment="1">
      <alignment horizontal="left"/>
    </xf>
    <xf numFmtId="168" fontId="0" fillId="0" borderId="0" xfId="0" applyNumberFormat="1" applyFill="1" applyBorder="1"/>
    <xf numFmtId="0" fontId="9" fillId="0" borderId="0" xfId="0" applyFont="1" applyFill="1" applyBorder="1" applyAlignment="1">
      <alignment horizontal="center"/>
    </xf>
    <xf numFmtId="167" fontId="2" fillId="0" borderId="0" xfId="1" applyNumberFormat="1" applyFont="1" applyFill="1" applyBorder="1" applyAlignment="1"/>
    <xf numFmtId="167" fontId="2" fillId="0" borderId="0" xfId="1" applyNumberFormat="1" applyFont="1" applyFill="1" applyBorder="1"/>
    <xf numFmtId="0" fontId="0" fillId="0" borderId="0" xfId="0" applyFill="1" applyBorder="1" applyAlignment="1">
      <alignment horizontal="right"/>
    </xf>
    <xf numFmtId="1" fontId="0" fillId="0" borderId="7" xfId="0" applyNumberFormat="1" applyFill="1" applyBorder="1"/>
    <xf numFmtId="167" fontId="0" fillId="0" borderId="0" xfId="0" applyNumberFormat="1" applyFill="1" applyBorder="1" applyAlignment="1">
      <alignment horizontal="right"/>
    </xf>
    <xf numFmtId="167" fontId="2" fillId="0" borderId="0" xfId="0" applyNumberFormat="1" applyFont="1" applyFill="1" applyBorder="1"/>
    <xf numFmtId="167" fontId="2" fillId="0" borderId="6" xfId="0" applyNumberFormat="1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167" fontId="2" fillId="0" borderId="1" xfId="0" applyNumberFormat="1" applyFont="1" applyFill="1" applyBorder="1"/>
    <xf numFmtId="167" fontId="2" fillId="0" borderId="5" xfId="0" applyNumberFormat="1" applyFont="1" applyFill="1" applyBorder="1"/>
    <xf numFmtId="0" fontId="2" fillId="0" borderId="9" xfId="0" applyFont="1" applyFill="1" applyBorder="1"/>
    <xf numFmtId="167" fontId="0" fillId="0" borderId="9" xfId="0" applyNumberFormat="1" applyFill="1" applyBorder="1"/>
    <xf numFmtId="168" fontId="0" fillId="0" borderId="1" xfId="0" applyNumberFormat="1" applyFill="1" applyBorder="1"/>
    <xf numFmtId="0" fontId="6" fillId="0" borderId="0" xfId="0" applyFont="1" applyFill="1" applyBorder="1"/>
    <xf numFmtId="0" fontId="12" fillId="0" borderId="0" xfId="0" applyFont="1" applyFill="1" applyAlignment="1">
      <alignment horizontal="right" vertical="center"/>
    </xf>
    <xf numFmtId="0" fontId="0" fillId="0" borderId="0" xfId="0" applyFill="1" applyBorder="1" applyAlignment="1">
      <alignment horizontal="left" wrapText="1"/>
    </xf>
    <xf numFmtId="0" fontId="5" fillId="0" borderId="2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/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9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7" xfId="0" applyFont="1" applyFill="1" applyBorder="1"/>
    <xf numFmtId="0" fontId="6" fillId="0" borderId="6" xfId="0" applyFont="1" applyFill="1" applyBorder="1"/>
    <xf numFmtId="0" fontId="6" fillId="0" borderId="10" xfId="0" applyFont="1" applyFill="1" applyBorder="1"/>
    <xf numFmtId="173" fontId="0" fillId="0" borderId="0" xfId="0" applyNumberFormat="1" applyFill="1"/>
    <xf numFmtId="165" fontId="5" fillId="0" borderId="0" xfId="1" applyNumberFormat="1" applyFont="1" applyFill="1"/>
    <xf numFmtId="0" fontId="6" fillId="0" borderId="0" xfId="0" applyFont="1" applyFill="1" applyAlignment="1">
      <alignment horizontal="right"/>
    </xf>
    <xf numFmtId="166" fontId="6" fillId="0" borderId="7" xfId="0" applyNumberFormat="1" applyFont="1" applyFill="1" applyBorder="1" applyAlignment="1">
      <alignment horizontal="right"/>
    </xf>
    <xf numFmtId="165" fontId="2" fillId="0" borderId="6" xfId="1" applyNumberFormat="1" applyFont="1" applyFill="1" applyBorder="1"/>
    <xf numFmtId="166" fontId="6" fillId="0" borderId="0" xfId="0" applyNumberFormat="1" applyFont="1" applyFill="1"/>
    <xf numFmtId="166" fontId="2" fillId="0" borderId="0" xfId="0" applyNumberFormat="1" applyFont="1" applyFill="1" applyAlignment="1">
      <alignment horizontal="right"/>
    </xf>
    <xf numFmtId="166" fontId="5" fillId="0" borderId="7" xfId="0" applyNumberFormat="1" applyFont="1" applyFill="1" applyBorder="1"/>
    <xf numFmtId="166" fontId="5" fillId="0" borderId="0" xfId="0" applyNumberFormat="1" applyFont="1" applyFill="1"/>
    <xf numFmtId="166" fontId="5" fillId="0" borderId="0" xfId="2" applyNumberFormat="1" applyFont="1" applyFill="1"/>
    <xf numFmtId="170" fontId="6" fillId="0" borderId="0" xfId="2" applyNumberFormat="1" applyFont="1" applyFill="1"/>
    <xf numFmtId="170" fontId="2" fillId="0" borderId="0" xfId="2" applyNumberFormat="1" applyFont="1" applyFill="1"/>
    <xf numFmtId="9" fontId="2" fillId="0" borderId="0" xfId="2" applyNumberFormat="1" applyFont="1" applyFill="1"/>
    <xf numFmtId="9" fontId="2" fillId="0" borderId="7" xfId="2" applyNumberFormat="1" applyFont="1" applyFill="1" applyBorder="1"/>
    <xf numFmtId="9" fontId="2" fillId="0" borderId="6" xfId="2" applyNumberFormat="1" applyFont="1" applyFill="1" applyBorder="1"/>
    <xf numFmtId="166" fontId="2" fillId="0" borderId="0" xfId="2" applyNumberFormat="1" applyFont="1" applyFill="1"/>
    <xf numFmtId="166" fontId="2" fillId="0" borderId="0" xfId="0" applyNumberFormat="1" applyFont="1" applyFill="1"/>
    <xf numFmtId="165" fontId="2" fillId="0" borderId="0" xfId="1" applyNumberFormat="1" applyFont="1" applyFill="1"/>
    <xf numFmtId="165" fontId="2" fillId="0" borderId="7" xfId="1" applyNumberFormat="1" applyFont="1" applyFill="1" applyBorder="1"/>
    <xf numFmtId="166" fontId="0" fillId="0" borderId="7" xfId="0" applyNumberFormat="1" applyFill="1" applyBorder="1"/>
    <xf numFmtId="170" fontId="2" fillId="0" borderId="7" xfId="2" applyNumberFormat="1" applyFont="1" applyFill="1" applyBorder="1"/>
    <xf numFmtId="170" fontId="2" fillId="0" borderId="6" xfId="2" applyNumberFormat="1" applyFont="1" applyFill="1" applyBorder="1"/>
    <xf numFmtId="166" fontId="2" fillId="0" borderId="6" xfId="2" applyNumberFormat="1" applyFont="1" applyFill="1" applyBorder="1"/>
    <xf numFmtId="166" fontId="2" fillId="0" borderId="7" xfId="0" applyNumberFormat="1" applyFont="1" applyFill="1" applyBorder="1"/>
    <xf numFmtId="10" fontId="0" fillId="0" borderId="0" xfId="0" applyNumberFormat="1" applyFill="1" applyAlignment="1">
      <alignment horizontal="right"/>
    </xf>
    <xf numFmtId="166" fontId="0" fillId="0" borderId="0" xfId="0" applyNumberFormat="1" applyFill="1" applyAlignment="1">
      <alignment horizontal="right"/>
    </xf>
    <xf numFmtId="170" fontId="2" fillId="0" borderId="0" xfId="2" applyNumberFormat="1" applyFont="1" applyFill="1" applyAlignment="1">
      <alignment horizontal="right"/>
    </xf>
    <xf numFmtId="0" fontId="0" fillId="0" borderId="9" xfId="0" applyFill="1" applyBorder="1"/>
    <xf numFmtId="0" fontId="0" fillId="0" borderId="5" xfId="0" applyFill="1" applyBorder="1"/>
    <xf numFmtId="0" fontId="28" fillId="0" borderId="0" xfId="0" applyFont="1" applyFill="1"/>
    <xf numFmtId="0" fontId="5" fillId="0" borderId="0" xfId="0" applyFont="1" applyFill="1" applyBorder="1"/>
    <xf numFmtId="165" fontId="27" fillId="0" borderId="0" xfId="0" applyNumberFormat="1" applyFont="1" applyFill="1"/>
    <xf numFmtId="43" fontId="27" fillId="0" borderId="0" xfId="0" applyNumberFormat="1" applyFont="1" applyFill="1"/>
    <xf numFmtId="0" fontId="2" fillId="0" borderId="0" xfId="0" applyFont="1" applyFill="1" applyAlignment="1">
      <alignment horizontal="right"/>
    </xf>
    <xf numFmtId="165" fontId="17" fillId="0" borderId="0" xfId="0" applyNumberFormat="1" applyFont="1" applyFill="1"/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165" fontId="5" fillId="0" borderId="7" xfId="1" applyNumberFormat="1" applyFont="1" applyFill="1" applyBorder="1"/>
    <xf numFmtId="165" fontId="5" fillId="0" borderId="0" xfId="1" quotePrefix="1" applyNumberFormat="1" applyFont="1" applyFill="1"/>
    <xf numFmtId="165" fontId="5" fillId="0" borderId="7" xfId="1" quotePrefix="1" applyNumberFormat="1" applyFont="1" applyFill="1" applyBorder="1"/>
    <xf numFmtId="165" fontId="5" fillId="0" borderId="0" xfId="1" applyNumberFormat="1" applyFont="1" applyFill="1" applyBorder="1"/>
    <xf numFmtId="166" fontId="5" fillId="0" borderId="0" xfId="0" applyNumberFormat="1" applyFont="1" applyFill="1" applyBorder="1"/>
    <xf numFmtId="9" fontId="5" fillId="0" borderId="0" xfId="2" applyFont="1" applyFill="1"/>
    <xf numFmtId="170" fontId="5" fillId="0" borderId="0" xfId="2" applyNumberFormat="1" applyFont="1" applyFill="1" applyBorder="1"/>
    <xf numFmtId="171" fontId="5" fillId="0" borderId="0" xfId="0" applyNumberFormat="1" applyFont="1" applyFill="1"/>
    <xf numFmtId="9" fontId="2" fillId="0" borderId="0" xfId="2" applyNumberFormat="1" applyFont="1" applyFill="1" applyBorder="1"/>
    <xf numFmtId="166" fontId="0" fillId="0" borderId="0" xfId="0" quotePrefix="1" applyNumberFormat="1" applyFill="1"/>
    <xf numFmtId="166" fontId="0" fillId="0" borderId="7" xfId="0" quotePrefix="1" applyNumberFormat="1" applyFill="1" applyBorder="1"/>
    <xf numFmtId="170" fontId="2" fillId="0" borderId="0" xfId="2" applyNumberFormat="1" applyFont="1" applyFill="1" applyBorder="1"/>
    <xf numFmtId="172" fontId="0" fillId="0" borderId="0" xfId="0" applyNumberFormat="1" applyFill="1"/>
    <xf numFmtId="165" fontId="18" fillId="0" borderId="0" xfId="1" applyNumberFormat="1" applyFont="1" applyFill="1" applyAlignment="1">
      <alignment wrapText="1"/>
    </xf>
    <xf numFmtId="0" fontId="19" fillId="0" borderId="1" xfId="0" applyFont="1" applyFill="1" applyBorder="1" applyAlignment="1">
      <alignment horizontal="right"/>
    </xf>
    <xf numFmtId="0" fontId="0" fillId="0" borderId="2" xfId="0" applyFill="1" applyBorder="1"/>
    <xf numFmtId="165" fontId="0" fillId="0" borderId="0" xfId="0" applyNumberFormat="1" applyFill="1" applyAlignment="1">
      <alignment horizontal="right"/>
    </xf>
    <xf numFmtId="169" fontId="5" fillId="0" borderId="0" xfId="0" applyNumberFormat="1" applyFont="1" applyFill="1"/>
    <xf numFmtId="166" fontId="10" fillId="0" borderId="0" xfId="0" applyNumberFormat="1" applyFont="1" applyFill="1" applyAlignment="1">
      <alignment horizontal="right"/>
    </xf>
    <xf numFmtId="169" fontId="0" fillId="0" borderId="0" xfId="0" applyNumberFormat="1" applyFill="1"/>
    <xf numFmtId="169" fontId="0" fillId="0" borderId="1" xfId="0" applyNumberFormat="1" applyFill="1" applyBorder="1"/>
    <xf numFmtId="1" fontId="0" fillId="0" borderId="1" xfId="0" applyNumberFormat="1" applyFill="1" applyBorder="1"/>
    <xf numFmtId="0" fontId="21" fillId="0" borderId="1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21" fillId="0" borderId="0" xfId="0" applyFont="1" applyFill="1" applyBorder="1"/>
    <xf numFmtId="0" fontId="21" fillId="0" borderId="8" xfId="0" applyFont="1" applyFill="1" applyBorder="1" applyAlignment="1">
      <alignment horizontal="center"/>
    </xf>
    <xf numFmtId="0" fontId="23" fillId="0" borderId="8" xfId="0" applyFont="1" applyFill="1" applyBorder="1"/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wrapText="1"/>
    </xf>
    <xf numFmtId="0" fontId="24" fillId="0" borderId="0" xfId="0" applyFont="1" applyFill="1" applyBorder="1"/>
    <xf numFmtId="0" fontId="24" fillId="0" borderId="0" xfId="0" applyFont="1" applyFill="1" applyAlignment="1">
      <alignment horizontal="center"/>
    </xf>
    <xf numFmtId="169" fontId="24" fillId="0" borderId="0" xfId="1" applyNumberFormat="1" applyFont="1" applyFill="1" applyBorder="1"/>
    <xf numFmtId="0" fontId="24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169" fontId="21" fillId="0" borderId="0" xfId="1" applyNumberFormat="1" applyFont="1" applyFill="1" applyBorder="1" applyAlignment="1"/>
    <xf numFmtId="169" fontId="21" fillId="0" borderId="0" xfId="1" applyNumberFormat="1" applyFont="1" applyFill="1" applyBorder="1"/>
    <xf numFmtId="169" fontId="2" fillId="0" borderId="0" xfId="1" applyNumberFormat="1" applyFont="1" applyFill="1" applyBorder="1" applyAlignment="1">
      <alignment horizontal="right"/>
    </xf>
    <xf numFmtId="169" fontId="21" fillId="0" borderId="0" xfId="1" applyNumberFormat="1" applyFont="1" applyFill="1" applyBorder="1" applyAlignment="1">
      <alignment horizontal="right"/>
    </xf>
    <xf numFmtId="169" fontId="2" fillId="0" borderId="0" xfId="1" applyNumberFormat="1" applyFont="1" applyFill="1" applyBorder="1"/>
    <xf numFmtId="0" fontId="24" fillId="0" borderId="0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169" fontId="2" fillId="0" borderId="1" xfId="1" applyNumberFormat="1" applyFont="1" applyFill="1" applyBorder="1"/>
    <xf numFmtId="169" fontId="21" fillId="0" borderId="1" xfId="1" applyNumberFormat="1" applyFont="1" applyFill="1" applyBorder="1"/>
    <xf numFmtId="0" fontId="22" fillId="0" borderId="0" xfId="0" applyFont="1" applyFill="1" applyBorder="1"/>
    <xf numFmtId="0" fontId="2" fillId="0" borderId="0" xfId="0" applyFont="1" applyFill="1" applyAlignment="1"/>
    <xf numFmtId="2" fontId="0" fillId="0" borderId="0" xfId="0" applyNumberFormat="1" applyFill="1"/>
    <xf numFmtId="1" fontId="21" fillId="0" borderId="0" xfId="0" applyNumberFormat="1" applyFont="1" applyFill="1"/>
    <xf numFmtId="1" fontId="0" fillId="0" borderId="0" xfId="0" applyNumberFormat="1" applyFill="1"/>
    <xf numFmtId="1" fontId="22" fillId="0" borderId="0" xfId="0" applyNumberFormat="1" applyFont="1" applyFill="1"/>
    <xf numFmtId="1" fontId="6" fillId="0" borderId="0" xfId="0" applyNumberFormat="1" applyFont="1" applyFill="1"/>
    <xf numFmtId="169" fontId="6" fillId="0" borderId="0" xfId="1" applyNumberFormat="1" applyFont="1" applyFill="1"/>
    <xf numFmtId="1" fontId="0" fillId="0" borderId="0" xfId="0" applyNumberFormat="1" applyFill="1" applyAlignment="1">
      <alignment horizontal="right"/>
    </xf>
    <xf numFmtId="3" fontId="0" fillId="0" borderId="0" xfId="0" applyNumberFormat="1" applyFill="1" applyAlignment="1">
      <alignment horizontal="right"/>
    </xf>
    <xf numFmtId="169" fontId="2" fillId="0" borderId="0" xfId="1" applyNumberFormat="1" applyFont="1" applyFill="1"/>
    <xf numFmtId="169" fontId="4" fillId="0" borderId="0" xfId="1" applyNumberFormat="1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0" fillId="0" borderId="0" xfId="0" applyFill="1" applyAlignment="1">
      <alignment horizontal="center"/>
    </xf>
    <xf numFmtId="0" fontId="16" fillId="0" borderId="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5" fillId="0" borderId="8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 wrapText="1"/>
    </xf>
  </cellXfs>
  <cellStyles count="18">
    <cellStyle name="Comma" xfId="1" builtinId="3"/>
    <cellStyle name="Normal" xfId="0" builtinId="0"/>
    <cellStyle name="Normal 10" xfId="3"/>
    <cellStyle name="Normal 2" xfId="4"/>
    <cellStyle name="Normal 2 2" xfId="6"/>
    <cellStyle name="Normal 3" xfId="5"/>
    <cellStyle name="Normal 4" xfId="8"/>
    <cellStyle name="Normal 4 2" xfId="11"/>
    <cellStyle name="Normal 4 3" xfId="14"/>
    <cellStyle name="Normal 5" xfId="9"/>
    <cellStyle name="Normal 5 2" xfId="12"/>
    <cellStyle name="Normal 5 3" xfId="15"/>
    <cellStyle name="Normal 6" xfId="10"/>
    <cellStyle name="Normal 7" xfId="13"/>
    <cellStyle name="Normal 8" xfId="16"/>
    <cellStyle name="Normal 9" xfId="17"/>
    <cellStyle name="Percent" xfId="2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14.01:  Arrivals, 2006-2010</a:t>
            </a:r>
          </a:p>
        </c:rich>
      </c:tx>
      <c:layout>
        <c:manualLayout>
          <c:xMode val="edge"/>
          <c:yMode val="edge"/>
          <c:x val="0.34703244286245039"/>
          <c:y val="3.30577427821522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79569505866562"/>
          <c:y val="0.15427026167183647"/>
          <c:w val="0.70776360909497638"/>
          <c:h val="0.652894318435558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'.01'!$Q$69</c:f>
              <c:strCache>
                <c:ptCount val="1"/>
                <c:pt idx="0">
                  <c:v>Ship Arrivals</c:v>
                </c:pt>
              </c:strCache>
            </c:strRef>
          </c:tx>
          <c:spPr>
            <a:solidFill>
              <a:srgbClr val="B38F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'.01'!$P$73:$P$77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DC-4474-A83A-9F4CAB87B47D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'.01'!$O$73:$O$77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'.01'!$P$69</c:f>
              <c:strCache>
                <c:ptCount val="1"/>
                <c:pt idx="0">
                  <c:v>Air Arrivals  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'.01'!$Q$73:$Q$77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DC-4474-A83A-9F4CAB87B47D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'.01'!$O$73:$O$77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strRef>
              <c:f>'.01'!$R$69</c:f>
              <c:strCache>
                <c:ptCount val="1"/>
                <c:pt idx="0">
                  <c:v>Total Arrivals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'.01'!$R$73:$R$77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CDC-4474-A83A-9F4CAB87B47D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'.01'!$O$73:$O$77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69395200"/>
        <c:axId val="69396736"/>
      </c:barChart>
      <c:catAx>
        <c:axId val="6939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396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396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Numbers</a:t>
                </a:r>
              </a:p>
            </c:rich>
          </c:tx>
          <c:layout>
            <c:manualLayout>
              <c:xMode val="edge"/>
              <c:yMode val="edge"/>
              <c:x val="5.8878462110044466E-2"/>
              <c:y val="0.39805437781815733"/>
            </c:manualLayout>
          </c:layout>
          <c:overlay val="0"/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395200"/>
        <c:crosses val="autoZero"/>
        <c:crossBetween val="between"/>
      </c:valAx>
      <c:spPr>
        <a:gradFill rotWithShape="0">
          <a:gsLst>
            <a:gs pos="0">
              <a:srgbClr val="3FB8CD"/>
            </a:gs>
            <a:gs pos="100000">
              <a:srgbClr val="8E5E42"/>
            </a:gs>
          </a:gsLst>
          <a:lin ang="5400000" scaled="1"/>
        </a:gradFill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645912982338392"/>
          <c:y val="0.89531933508311456"/>
          <c:w val="0.39117263310122763"/>
          <c:h val="6.33609260380914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15.01:  Distribution of Air Arrivals by Country of Origin, 2018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376-4C40-9C63-C598BB7C8683}"/>
              </c:ext>
            </c:extLst>
          </c:dPt>
          <c:dPt>
            <c:idx val="1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376-4C40-9C63-C598BB7C868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376-4C40-9C63-C598BB7C8683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376-4C40-9C63-C598BB7C8683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U.S.A., 83.2%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376-4C40-9C63-C598BB7C868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582010582010581E-2"/>
                  <c:y val="3.633060853769300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Canada, 5.8%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376-4C40-9C63-C598BB7C868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Europe, 4.9%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376-4C40-9C63-C598BB7C868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Rest of World, 4.4%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376-4C40-9C63-C598BB7C868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'[1].02'!$AJ$20:$AK$23</c:f>
              <c:multiLvlStrCache>
                <c:ptCount val="2"/>
                <c:lvl>
                  <c:pt idx="0">
                    <c:v>Rest of World</c:v>
                  </c:pt>
                </c:lvl>
                <c:lvl>
                  <c:pt idx="0">
                    <c:v>Europe</c:v>
                  </c:pt>
                </c:lvl>
                <c:lvl>
                  <c:pt idx="0">
                    <c:v>Canada</c:v>
                  </c:pt>
                </c:lvl>
                <c:lvl>
                  <c:pt idx="0">
                    <c:v>U.S.A.</c:v>
                  </c:pt>
                </c:lvl>
              </c:multiLvlStrCache>
            </c:multiLvlStrRef>
          </c:cat>
          <c:val>
            <c:numRef>
              <c:f>'[1].02'!$AN$40:$AN$43</c:f>
              <c:numCache>
                <c:formatCode>General</c:formatCode>
                <c:ptCount val="4"/>
                <c:pt idx="0">
                  <c:v>75.23510971786834</c:v>
                </c:pt>
                <c:pt idx="1">
                  <c:v>6.5047021943573675</c:v>
                </c:pt>
                <c:pt idx="2">
                  <c:v>9.5088819226750267</c:v>
                </c:pt>
                <c:pt idx="3">
                  <c:v>8.751306165099269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376-4C40-9C63-C598BB7C8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FFFFFF"/>
        </a:gs>
        <a:gs pos="100000">
          <a:srgbClr val="969696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323850</xdr:colOff>
      <xdr:row>78</xdr:row>
      <xdr:rowOff>85725</xdr:rowOff>
    </xdr:from>
    <xdr:to>
      <xdr:col>26</xdr:col>
      <xdr:colOff>476250</xdr:colOff>
      <xdr:row>97</xdr:row>
      <xdr:rowOff>28575</xdr:rowOff>
    </xdr:to>
    <xdr:graphicFrame macro="">
      <xdr:nvGraphicFramePr>
        <xdr:cNvPr id="2" name="Chart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9525</xdr:rowOff>
        </xdr:from>
        <xdr:to>
          <xdr:col>1</xdr:col>
          <xdr:colOff>257175</xdr:colOff>
          <xdr:row>2</xdr:row>
          <xdr:rowOff>123825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28575</xdr:rowOff>
        </xdr:from>
        <xdr:to>
          <xdr:col>1</xdr:col>
          <xdr:colOff>314325</xdr:colOff>
          <xdr:row>3</xdr:row>
          <xdr:rowOff>114300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161924</xdr:colOff>
      <xdr:row>44</xdr:row>
      <xdr:rowOff>114300</xdr:rowOff>
    </xdr:from>
    <xdr:to>
      <xdr:col>32</xdr:col>
      <xdr:colOff>19049</xdr:colOff>
      <xdr:row>68</xdr:row>
      <xdr:rowOff>66675</xdr:rowOff>
    </xdr:to>
    <xdr:graphicFrame macro="">
      <xdr:nvGraphicFramePr>
        <xdr:cNvPr id="4" name="Chart 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</xdr:row>
          <xdr:rowOff>104775</xdr:rowOff>
        </xdr:from>
        <xdr:to>
          <xdr:col>2</xdr:col>
          <xdr:colOff>638175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0</xdr:row>
          <xdr:rowOff>104775</xdr:rowOff>
        </xdr:from>
        <xdr:to>
          <xdr:col>2</xdr:col>
          <xdr:colOff>38100</xdr:colOff>
          <xdr:row>3</xdr:row>
          <xdr:rowOff>66675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0</xdr:row>
          <xdr:rowOff>104775</xdr:rowOff>
        </xdr:from>
        <xdr:to>
          <xdr:col>2</xdr:col>
          <xdr:colOff>38100</xdr:colOff>
          <xdr:row>3</xdr:row>
          <xdr:rowOff>66675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47625</xdr:rowOff>
        </xdr:from>
        <xdr:to>
          <xdr:col>1</xdr:col>
          <xdr:colOff>400050</xdr:colOff>
          <xdr:row>3</xdr:row>
          <xdr:rowOff>9525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2</xdr:col>
          <xdr:colOff>552450</xdr:colOff>
          <xdr:row>3</xdr:row>
          <xdr:rowOff>123825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ph_eu\AppData\Local\Microsoft\Windows\Temporary%20Internet%20Files\Content.Outlook\C5EZ38W1\Copy%20of%20Compendium%20of%20Statistics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1"/>
      <sheetName val=".02"/>
      <sheetName val=".03"/>
      <sheetName val=".04new"/>
      <sheetName val=".05n"/>
      <sheetName val=".06"/>
    </sheetNames>
    <sheetDataSet>
      <sheetData sheetId="0" refreshError="1"/>
      <sheetData sheetId="1">
        <row r="20">
          <cell r="AJ20" t="str">
            <v>U.S.A.</v>
          </cell>
        </row>
        <row r="21">
          <cell r="AJ21" t="str">
            <v>Canada</v>
          </cell>
        </row>
        <row r="22">
          <cell r="AJ22" t="str">
            <v>Europe</v>
          </cell>
        </row>
        <row r="23">
          <cell r="AJ23" t="str">
            <v>Rest of World</v>
          </cell>
        </row>
        <row r="40">
          <cell r="AN40">
            <v>75.23510971786834</v>
          </cell>
        </row>
        <row r="41">
          <cell r="AN41">
            <v>6.5047021943573675</v>
          </cell>
        </row>
        <row r="42">
          <cell r="AN42">
            <v>9.5088819226750267</v>
          </cell>
        </row>
        <row r="43">
          <cell r="AN43">
            <v>8.751306165099269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3:AB94"/>
  <sheetViews>
    <sheetView tabSelected="1" zoomScaleNormal="100" zoomScaleSheetLayoutView="100" workbookViewId="0">
      <selection activeCell="AM3" sqref="AM3"/>
    </sheetView>
  </sheetViews>
  <sheetFormatPr defaultColWidth="9.140625" defaultRowHeight="12.75" x14ac:dyDescent="0.2"/>
  <cols>
    <col min="1" max="1" width="9.140625" style="2"/>
    <col min="2" max="2" width="8.28515625" style="2" customWidth="1"/>
    <col min="3" max="3" width="6.28515625" style="2" customWidth="1"/>
    <col min="4" max="4" width="1.85546875" style="2" customWidth="1"/>
    <col min="5" max="5" width="12.5703125" style="2" customWidth="1"/>
    <col min="6" max="6" width="12" style="2" customWidth="1"/>
    <col min="7" max="7" width="12.42578125" style="2" customWidth="1"/>
    <col min="8" max="8" width="12.7109375" style="2" customWidth="1"/>
    <col min="9" max="9" width="9.7109375" style="2" customWidth="1"/>
    <col min="10" max="10" width="9" style="2" customWidth="1"/>
    <col min="11" max="11" width="9.140625" style="2"/>
    <col min="12" max="12" width="11.28515625" style="2" bestFit="1" customWidth="1"/>
    <col min="13" max="13" width="10.85546875" style="2" hidden="1" customWidth="1"/>
    <col min="14" max="17" width="0" style="2" hidden="1" customWidth="1"/>
    <col min="18" max="18" width="9.28515625" style="2" hidden="1" customWidth="1"/>
    <col min="19" max="37" width="0" style="2" hidden="1" customWidth="1"/>
    <col min="38" max="16384" width="9.140625" style="2"/>
  </cols>
  <sheetData>
    <row r="3" spans="2:11" x14ac:dyDescent="0.2">
      <c r="H3" s="8" t="s">
        <v>111</v>
      </c>
    </row>
    <row r="4" spans="2:11" ht="15" x14ac:dyDescent="0.25">
      <c r="G4" s="9"/>
      <c r="H4" s="9"/>
      <c r="I4" s="9"/>
      <c r="J4" s="50"/>
    </row>
    <row r="5" spans="2:11" ht="9" customHeight="1" x14ac:dyDescent="0.2"/>
    <row r="7" spans="2:11" ht="15.75" x14ac:dyDescent="0.25">
      <c r="B7" s="10">
        <v>15.01</v>
      </c>
      <c r="C7" s="207" t="s">
        <v>107</v>
      </c>
      <c r="D7" s="207"/>
      <c r="E7" s="207"/>
      <c r="F7" s="207"/>
      <c r="G7" s="207"/>
      <c r="H7" s="207"/>
      <c r="I7" s="207"/>
      <c r="J7" s="207"/>
    </row>
    <row r="9" spans="2:11" x14ac:dyDescent="0.2">
      <c r="E9" s="51"/>
    </row>
    <row r="10" spans="2:11" x14ac:dyDescent="0.2">
      <c r="C10" s="52"/>
      <c r="D10" s="52"/>
      <c r="E10" s="53" t="s">
        <v>0</v>
      </c>
      <c r="F10" s="54"/>
      <c r="G10" s="53" t="s">
        <v>1</v>
      </c>
      <c r="H10" s="53"/>
      <c r="I10" s="53"/>
      <c r="J10" s="208" t="s">
        <v>2</v>
      </c>
      <c r="K10" s="209"/>
    </row>
    <row r="11" spans="2:11" ht="25.5" x14ac:dyDescent="0.2">
      <c r="C11" s="55" t="s">
        <v>3</v>
      </c>
      <c r="D11" s="56"/>
      <c r="E11" s="56" t="s">
        <v>4</v>
      </c>
      <c r="F11" s="57" t="s">
        <v>5</v>
      </c>
      <c r="G11" s="55" t="s">
        <v>6</v>
      </c>
      <c r="H11" s="56" t="s">
        <v>7</v>
      </c>
      <c r="I11" s="55" t="s">
        <v>5</v>
      </c>
      <c r="J11" s="58" t="s">
        <v>7</v>
      </c>
      <c r="K11" s="55" t="s">
        <v>5</v>
      </c>
    </row>
    <row r="12" spans="2:11" hidden="1" x14ac:dyDescent="0.2">
      <c r="C12" s="59"/>
      <c r="E12" s="1"/>
      <c r="F12" s="60"/>
      <c r="J12" s="61"/>
      <c r="K12" s="1"/>
    </row>
    <row r="13" spans="2:11" hidden="1" x14ac:dyDescent="0.2">
      <c r="C13" s="59">
        <v>1970</v>
      </c>
      <c r="D13" s="49"/>
      <c r="E13" s="62">
        <v>22.890999999999998</v>
      </c>
      <c r="F13" s="63" t="s">
        <v>8</v>
      </c>
      <c r="G13" s="64" t="s">
        <v>8</v>
      </c>
      <c r="H13" s="65" t="s">
        <v>8</v>
      </c>
      <c r="I13" s="59" t="s">
        <v>8</v>
      </c>
      <c r="J13" s="61"/>
      <c r="K13" s="1"/>
    </row>
    <row r="14" spans="2:11" hidden="1" x14ac:dyDescent="0.2">
      <c r="C14" s="59">
        <v>1971</v>
      </c>
      <c r="D14" s="49"/>
      <c r="E14" s="62">
        <v>24.353999999999999</v>
      </c>
      <c r="F14" s="66">
        <f t="shared" ref="F14:F23" si="0">(E14/E13-1)*100</f>
        <v>6.3911580970687165</v>
      </c>
      <c r="G14" s="64" t="s">
        <v>8</v>
      </c>
      <c r="H14" s="65">
        <v>0.90800000000000003</v>
      </c>
      <c r="I14" s="59" t="s">
        <v>8</v>
      </c>
      <c r="J14" s="61"/>
      <c r="K14" s="1"/>
    </row>
    <row r="15" spans="2:11" hidden="1" x14ac:dyDescent="0.2">
      <c r="C15" s="59">
        <v>1972</v>
      </c>
      <c r="D15" s="49"/>
      <c r="E15" s="62">
        <v>30.646000000000001</v>
      </c>
      <c r="F15" s="66">
        <f t="shared" si="0"/>
        <v>25.835591689250226</v>
      </c>
      <c r="G15" s="64">
        <v>5</v>
      </c>
      <c r="H15" s="65">
        <v>1.014</v>
      </c>
      <c r="I15" s="11">
        <f t="shared" ref="I15:I38" si="1">(H15/H14-1)*100</f>
        <v>11.674008810572678</v>
      </c>
      <c r="J15" s="61"/>
      <c r="K15" s="1"/>
    </row>
    <row r="16" spans="2:11" hidden="1" x14ac:dyDescent="0.2">
      <c r="C16" s="59">
        <v>1973</v>
      </c>
      <c r="D16" s="49"/>
      <c r="E16" s="62">
        <v>45.750999999999998</v>
      </c>
      <c r="F16" s="66">
        <f t="shared" si="0"/>
        <v>49.288651047445001</v>
      </c>
      <c r="G16" s="64">
        <v>7</v>
      </c>
      <c r="H16" s="65">
        <v>0.97099999999999997</v>
      </c>
      <c r="I16" s="11">
        <f t="shared" si="1"/>
        <v>-4.2406311637080858</v>
      </c>
      <c r="J16" s="61"/>
      <c r="K16" s="1"/>
    </row>
    <row r="17" spans="3:11" hidden="1" x14ac:dyDescent="0.2">
      <c r="C17" s="59">
        <v>1974</v>
      </c>
      <c r="D17" s="49"/>
      <c r="E17" s="62">
        <v>53.103999999999999</v>
      </c>
      <c r="F17" s="66">
        <f t="shared" si="0"/>
        <v>16.071779851806522</v>
      </c>
      <c r="G17" s="64">
        <v>8</v>
      </c>
      <c r="H17" s="65">
        <v>2.5129999999999999</v>
      </c>
      <c r="I17" s="11">
        <f t="shared" si="1"/>
        <v>158.8053553038105</v>
      </c>
      <c r="J17" s="61"/>
      <c r="K17" s="1"/>
    </row>
    <row r="18" spans="3:11" hidden="1" x14ac:dyDescent="0.2">
      <c r="C18" s="59">
        <v>1975</v>
      </c>
      <c r="D18" s="49"/>
      <c r="E18" s="62">
        <v>54.145000000000003</v>
      </c>
      <c r="F18" s="66">
        <f t="shared" si="0"/>
        <v>1.9603043085266725</v>
      </c>
      <c r="G18" s="64">
        <v>33</v>
      </c>
      <c r="H18" s="65">
        <v>22.451000000000001</v>
      </c>
      <c r="I18" s="11">
        <f t="shared" si="1"/>
        <v>793.39434938320733</v>
      </c>
      <c r="J18" s="61"/>
      <c r="K18" s="1"/>
    </row>
    <row r="19" spans="3:11" hidden="1" x14ac:dyDescent="0.2">
      <c r="C19" s="59">
        <v>1976</v>
      </c>
      <c r="D19" s="49"/>
      <c r="E19" s="62">
        <v>64.875</v>
      </c>
      <c r="F19" s="66">
        <f t="shared" si="0"/>
        <v>19.817157632283667</v>
      </c>
      <c r="G19" s="64">
        <v>66</v>
      </c>
      <c r="H19" s="65">
        <v>40.618000000000002</v>
      </c>
      <c r="I19" s="11">
        <f t="shared" si="1"/>
        <v>80.918444612712136</v>
      </c>
      <c r="J19" s="61"/>
      <c r="K19" s="1"/>
    </row>
    <row r="20" spans="3:11" hidden="1" x14ac:dyDescent="0.2">
      <c r="C20" s="59">
        <v>1977</v>
      </c>
      <c r="D20" s="49"/>
      <c r="E20" s="62">
        <v>67.197000000000003</v>
      </c>
      <c r="F20" s="66">
        <f t="shared" si="0"/>
        <v>3.5791907514450827</v>
      </c>
      <c r="G20" s="64">
        <v>77</v>
      </c>
      <c r="H20" s="65">
        <v>42.426000000000002</v>
      </c>
      <c r="I20" s="11">
        <f t="shared" si="1"/>
        <v>4.4512285193756496</v>
      </c>
      <c r="J20" s="61"/>
      <c r="K20" s="1"/>
    </row>
    <row r="21" spans="3:11" hidden="1" x14ac:dyDescent="0.2">
      <c r="C21" s="59">
        <v>1978</v>
      </c>
      <c r="D21" s="49"/>
      <c r="E21" s="62">
        <v>77.402000000000001</v>
      </c>
      <c r="F21" s="66">
        <f t="shared" si="0"/>
        <v>15.186689881988769</v>
      </c>
      <c r="G21" s="64">
        <v>70</v>
      </c>
      <c r="H21" s="65">
        <v>45.052</v>
      </c>
      <c r="I21" s="11">
        <f t="shared" si="1"/>
        <v>6.1896007165417322</v>
      </c>
      <c r="J21" s="61"/>
      <c r="K21" s="1"/>
    </row>
    <row r="22" spans="3:11" hidden="1" x14ac:dyDescent="0.2">
      <c r="C22" s="59">
        <v>1979</v>
      </c>
      <c r="D22" s="49"/>
      <c r="E22" s="62">
        <v>100.587</v>
      </c>
      <c r="F22" s="66">
        <f t="shared" si="0"/>
        <v>29.954006356424912</v>
      </c>
      <c r="G22" s="64">
        <v>98</v>
      </c>
      <c r="H22" s="65">
        <v>59.03</v>
      </c>
      <c r="I22" s="11">
        <f t="shared" si="1"/>
        <v>31.026369528544805</v>
      </c>
      <c r="J22" s="61"/>
      <c r="K22" s="1"/>
    </row>
    <row r="23" spans="3:11" hidden="1" x14ac:dyDescent="0.2">
      <c r="C23" s="59">
        <v>1980</v>
      </c>
      <c r="D23" s="49"/>
      <c r="E23" s="62">
        <v>120.241</v>
      </c>
      <c r="F23" s="66">
        <f t="shared" si="0"/>
        <v>19.539304283853774</v>
      </c>
      <c r="G23" s="64">
        <v>116</v>
      </c>
      <c r="H23" s="65">
        <v>60.869</v>
      </c>
      <c r="I23" s="11">
        <f t="shared" si="1"/>
        <v>3.1153650686091883</v>
      </c>
      <c r="J23" s="61"/>
      <c r="K23" s="1"/>
    </row>
    <row r="24" spans="3:11" hidden="1" x14ac:dyDescent="0.2">
      <c r="C24" s="59">
        <v>1981</v>
      </c>
      <c r="D24" s="49"/>
      <c r="E24" s="62">
        <v>124.598</v>
      </c>
      <c r="F24" s="66">
        <f>(E24/E23-1)*100</f>
        <v>3.6235560249831655</v>
      </c>
      <c r="G24" s="64">
        <v>126</v>
      </c>
      <c r="H24" s="65">
        <v>78.013000000000005</v>
      </c>
      <c r="I24" s="11">
        <f t="shared" si="1"/>
        <v>28.165404393040806</v>
      </c>
      <c r="J24" s="61"/>
      <c r="K24" s="1"/>
    </row>
    <row r="25" spans="3:11" hidden="1" x14ac:dyDescent="0.2">
      <c r="C25" s="59">
        <v>1982</v>
      </c>
      <c r="D25" s="49"/>
      <c r="E25" s="62">
        <v>121.2</v>
      </c>
      <c r="F25" s="66">
        <f t="shared" ref="F25:F38" si="2">(E25/E24-1)*100</f>
        <v>-2.7271705805871682</v>
      </c>
      <c r="G25" s="64">
        <v>179</v>
      </c>
      <c r="H25" s="65">
        <v>158.285</v>
      </c>
      <c r="I25" s="11">
        <f t="shared" si="1"/>
        <v>102.89567123428145</v>
      </c>
      <c r="J25" s="61"/>
      <c r="K25" s="1"/>
    </row>
    <row r="26" spans="3:11" hidden="1" x14ac:dyDescent="0.2">
      <c r="C26" s="59">
        <v>1983</v>
      </c>
      <c r="D26" s="49"/>
      <c r="E26" s="62">
        <v>130.76300000000001</v>
      </c>
      <c r="F26" s="66">
        <f t="shared" si="2"/>
        <v>7.8902640264026491</v>
      </c>
      <c r="G26" s="64">
        <v>221</v>
      </c>
      <c r="H26" s="65">
        <v>177.215</v>
      </c>
      <c r="I26" s="11">
        <f t="shared" si="1"/>
        <v>11.959440250181629</v>
      </c>
      <c r="J26" s="61"/>
      <c r="K26" s="1"/>
    </row>
    <row r="27" spans="3:11" hidden="1" x14ac:dyDescent="0.2">
      <c r="C27" s="59">
        <v>1984</v>
      </c>
      <c r="D27" s="49"/>
      <c r="E27" s="62">
        <v>148.48500000000001</v>
      </c>
      <c r="F27" s="66">
        <f t="shared" si="2"/>
        <v>13.552763396373591</v>
      </c>
      <c r="G27" s="64">
        <v>250</v>
      </c>
      <c r="H27" s="65">
        <v>203.583</v>
      </c>
      <c r="I27" s="11">
        <f t="shared" si="1"/>
        <v>14.879101656180339</v>
      </c>
      <c r="J27" s="61"/>
      <c r="K27" s="1"/>
    </row>
    <row r="28" spans="3:11" hidden="1" x14ac:dyDescent="0.2">
      <c r="C28" s="59">
        <v>1985</v>
      </c>
      <c r="D28" s="49"/>
      <c r="E28" s="62">
        <v>145.072</v>
      </c>
      <c r="F28" s="66">
        <f t="shared" si="2"/>
        <v>-2.2985486749503403</v>
      </c>
      <c r="G28" s="64">
        <v>263</v>
      </c>
      <c r="H28" s="65">
        <v>258.67399999999998</v>
      </c>
      <c r="I28" s="11">
        <f t="shared" si="1"/>
        <v>27.060707426455053</v>
      </c>
      <c r="J28" s="61"/>
      <c r="K28" s="1"/>
    </row>
    <row r="29" spans="3:11" hidden="1" x14ac:dyDescent="0.2">
      <c r="C29" s="59">
        <v>1986</v>
      </c>
      <c r="D29" s="49"/>
      <c r="E29" s="62">
        <v>166.08199999999999</v>
      </c>
      <c r="F29" s="66">
        <f t="shared" si="2"/>
        <v>14.482463880004403</v>
      </c>
      <c r="G29" s="64">
        <v>323</v>
      </c>
      <c r="H29" s="65">
        <v>270.94900000000001</v>
      </c>
      <c r="I29" s="11">
        <f t="shared" si="1"/>
        <v>4.7453551574568875</v>
      </c>
      <c r="J29" s="61"/>
      <c r="K29" s="1"/>
    </row>
    <row r="30" spans="3:11" hidden="1" x14ac:dyDescent="0.2">
      <c r="C30" s="59">
        <v>1987</v>
      </c>
      <c r="D30" s="49"/>
      <c r="E30" s="62">
        <v>209</v>
      </c>
      <c r="F30" s="66">
        <f t="shared" si="2"/>
        <v>25.841451812959871</v>
      </c>
      <c r="G30" s="64">
        <v>277</v>
      </c>
      <c r="H30" s="65">
        <v>271.7</v>
      </c>
      <c r="I30" s="11">
        <f t="shared" si="1"/>
        <v>0.27717393310178196</v>
      </c>
      <c r="J30" s="61"/>
      <c r="K30" s="1"/>
    </row>
    <row r="31" spans="3:11" hidden="1" x14ac:dyDescent="0.2">
      <c r="C31" s="59">
        <v>1988</v>
      </c>
      <c r="D31" s="49"/>
      <c r="E31" s="62">
        <v>218.7</v>
      </c>
      <c r="F31" s="66">
        <f t="shared" si="2"/>
        <v>4.6411483253588459</v>
      </c>
      <c r="G31" s="64">
        <v>286</v>
      </c>
      <c r="H31" s="65">
        <v>315.60000000000002</v>
      </c>
      <c r="I31" s="11">
        <f t="shared" si="1"/>
        <v>16.157526683842494</v>
      </c>
      <c r="J31" s="61"/>
      <c r="K31" s="1"/>
    </row>
    <row r="32" spans="3:11" hidden="1" x14ac:dyDescent="0.2">
      <c r="C32" s="59">
        <v>1989</v>
      </c>
      <c r="D32" s="49"/>
      <c r="E32" s="62">
        <v>209.8</v>
      </c>
      <c r="F32" s="66">
        <f t="shared" si="2"/>
        <v>-4.069501600365788</v>
      </c>
      <c r="G32" s="64">
        <v>333</v>
      </c>
      <c r="H32" s="65">
        <v>403.9</v>
      </c>
      <c r="I32" s="11">
        <f t="shared" si="1"/>
        <v>27.978453738909991</v>
      </c>
      <c r="J32" s="61"/>
      <c r="K32" s="1"/>
    </row>
    <row r="33" spans="2:16" hidden="1" x14ac:dyDescent="0.2">
      <c r="C33" s="59">
        <v>1990</v>
      </c>
      <c r="D33" s="49"/>
      <c r="E33" s="62">
        <v>253.2</v>
      </c>
      <c r="F33" s="66">
        <f t="shared" si="2"/>
        <v>20.686367969494746</v>
      </c>
      <c r="G33" s="64">
        <v>294</v>
      </c>
      <c r="H33" s="65">
        <v>361.7</v>
      </c>
      <c r="I33" s="11">
        <f t="shared" si="1"/>
        <v>-10.448130725427085</v>
      </c>
      <c r="J33" s="61"/>
      <c r="K33" s="1"/>
    </row>
    <row r="34" spans="2:16" hidden="1" x14ac:dyDescent="0.2">
      <c r="C34" s="59">
        <v>1991</v>
      </c>
      <c r="D34" s="49"/>
      <c r="E34" s="62">
        <v>237.4</v>
      </c>
      <c r="F34" s="66">
        <f t="shared" si="2"/>
        <v>-6.2401263823064657</v>
      </c>
      <c r="G34" s="64">
        <v>420</v>
      </c>
      <c r="H34" s="65">
        <v>474.7</v>
      </c>
      <c r="I34" s="11">
        <f t="shared" si="1"/>
        <v>31.241360243295556</v>
      </c>
      <c r="J34" s="61"/>
      <c r="K34" s="1"/>
    </row>
    <row r="35" spans="2:16" hidden="1" x14ac:dyDescent="0.2">
      <c r="C35" s="59">
        <v>1992</v>
      </c>
      <c r="D35" s="49"/>
      <c r="E35" s="62">
        <v>241.8</v>
      </c>
      <c r="F35" s="66">
        <f t="shared" si="2"/>
        <v>1.8534119629317614</v>
      </c>
      <c r="G35" s="64">
        <v>487</v>
      </c>
      <c r="H35" s="65">
        <v>613.5</v>
      </c>
      <c r="I35" s="11">
        <f t="shared" si="1"/>
        <v>29.239519696650529</v>
      </c>
      <c r="J35" s="61"/>
      <c r="K35" s="1"/>
    </row>
    <row r="36" spans="2:16" hidden="1" x14ac:dyDescent="0.2">
      <c r="C36" s="59">
        <v>1993</v>
      </c>
      <c r="D36" s="49"/>
      <c r="E36" s="62">
        <v>287.3</v>
      </c>
      <c r="F36" s="66">
        <f t="shared" si="2"/>
        <v>18.817204301075275</v>
      </c>
      <c r="G36" s="64">
        <v>447</v>
      </c>
      <c r="H36" s="65">
        <v>605.70000000000005</v>
      </c>
      <c r="I36" s="11">
        <f t="shared" si="1"/>
        <v>-1.2713936430317818</v>
      </c>
      <c r="J36" s="61"/>
      <c r="K36" s="1"/>
    </row>
    <row r="37" spans="2:16" hidden="1" x14ac:dyDescent="0.2">
      <c r="C37" s="59">
        <v>1994</v>
      </c>
      <c r="D37" s="49"/>
      <c r="E37" s="62">
        <v>341.5</v>
      </c>
      <c r="F37" s="66">
        <f t="shared" si="2"/>
        <v>18.865297598329267</v>
      </c>
      <c r="G37" s="64">
        <v>465</v>
      </c>
      <c r="H37" s="65">
        <v>599.4</v>
      </c>
      <c r="I37" s="11">
        <f t="shared" si="1"/>
        <v>-1.0401188707280906</v>
      </c>
      <c r="J37" s="61"/>
      <c r="K37" s="1"/>
    </row>
    <row r="38" spans="2:16" hidden="1" x14ac:dyDescent="0.2">
      <c r="C38" s="59">
        <v>1995</v>
      </c>
      <c r="D38" s="49"/>
      <c r="E38" s="62">
        <v>361.4</v>
      </c>
      <c r="F38" s="66">
        <f t="shared" si="2"/>
        <v>5.8272327964860926</v>
      </c>
      <c r="G38" s="64">
        <v>504</v>
      </c>
      <c r="H38" s="65">
        <v>682.8</v>
      </c>
      <c r="I38" s="11">
        <f t="shared" si="1"/>
        <v>13.9139139139139</v>
      </c>
      <c r="J38" s="61"/>
      <c r="K38" s="1"/>
    </row>
    <row r="39" spans="2:16" ht="9" customHeight="1" x14ac:dyDescent="0.2">
      <c r="C39" s="59"/>
      <c r="D39" s="49"/>
      <c r="E39" s="62"/>
      <c r="F39" s="66"/>
      <c r="G39" s="64"/>
      <c r="H39" s="65"/>
      <c r="I39" s="11"/>
      <c r="J39" s="67" t="s">
        <v>9</v>
      </c>
      <c r="K39" s="1"/>
    </row>
    <row r="40" spans="2:16" x14ac:dyDescent="0.2">
      <c r="C40" s="59">
        <v>1996</v>
      </c>
      <c r="D40" s="49"/>
      <c r="E40" s="4">
        <v>373.2</v>
      </c>
      <c r="F40" s="68">
        <f>(E40/E38-1)*100</f>
        <v>3.2650802434975201</v>
      </c>
      <c r="G40" s="64">
        <v>528</v>
      </c>
      <c r="H40" s="12">
        <v>800.3</v>
      </c>
      <c r="I40" s="12">
        <f>(H40/H38-1)*100</f>
        <v>17.208553016988869</v>
      </c>
      <c r="J40" s="69">
        <f>SUM(E40)+H40</f>
        <v>1173.5</v>
      </c>
      <c r="K40" s="1"/>
    </row>
    <row r="41" spans="2:16" x14ac:dyDescent="0.2">
      <c r="C41" s="59">
        <v>1997</v>
      </c>
      <c r="D41" s="49"/>
      <c r="E41" s="4">
        <v>381.2</v>
      </c>
      <c r="F41" s="68">
        <f t="shared" ref="F41:F50" si="3">(E41/E40-1)*100</f>
        <v>2.1436227224008508</v>
      </c>
      <c r="G41" s="64">
        <v>572</v>
      </c>
      <c r="H41" s="12">
        <v>866.6</v>
      </c>
      <c r="I41" s="12">
        <f>(H41/H40-1)*100</f>
        <v>8.2843933524928239</v>
      </c>
      <c r="J41" s="69">
        <f t="shared" ref="J41:J60" si="4">SUM(E41)+H41</f>
        <v>1247.8</v>
      </c>
      <c r="K41" s="70">
        <f>(J41/J40-1)*100</f>
        <v>6.3314870046868199</v>
      </c>
    </row>
    <row r="42" spans="2:16" x14ac:dyDescent="0.2">
      <c r="C42" s="71">
        <v>1998</v>
      </c>
      <c r="D42" s="72"/>
      <c r="E42" s="4">
        <v>404.20499999999998</v>
      </c>
      <c r="F42" s="68">
        <f t="shared" si="3"/>
        <v>6.0348898216159519</v>
      </c>
      <c r="G42" s="73">
        <v>518</v>
      </c>
      <c r="H42" s="12">
        <v>871.4</v>
      </c>
      <c r="I42" s="12">
        <f>(H42/H41-1)*100</f>
        <v>0.55388876067388182</v>
      </c>
      <c r="J42" s="69">
        <f t="shared" si="4"/>
        <v>1275.605</v>
      </c>
      <c r="K42" s="70">
        <f>(J42/J41-1)*100</f>
        <v>2.2283218464497656</v>
      </c>
      <c r="N42" s="12"/>
      <c r="O42" s="12"/>
      <c r="P42" s="12"/>
    </row>
    <row r="43" spans="2:16" x14ac:dyDescent="0.2">
      <c r="B43" s="1"/>
      <c r="C43" s="71">
        <v>1999</v>
      </c>
      <c r="D43" s="72"/>
      <c r="E43" s="4">
        <v>394.7</v>
      </c>
      <c r="F43" s="68">
        <f t="shared" si="3"/>
        <v>-2.351529545651343</v>
      </c>
      <c r="G43" s="73">
        <v>638</v>
      </c>
      <c r="H43" s="4">
        <v>1035.5</v>
      </c>
      <c r="I43" s="4">
        <f t="shared" ref="I43:I48" si="5">(H43/H42-1)*100</f>
        <v>18.831764975900846</v>
      </c>
      <c r="J43" s="69">
        <f t="shared" si="4"/>
        <v>1430.2</v>
      </c>
      <c r="K43" s="70">
        <f>(J43/J42-1)*100</f>
        <v>12.119347290109395</v>
      </c>
      <c r="N43" s="12"/>
      <c r="O43" s="4"/>
      <c r="P43" s="4"/>
    </row>
    <row r="44" spans="2:16" ht="14.25" x14ac:dyDescent="0.2">
      <c r="B44" s="1"/>
      <c r="C44" s="71">
        <v>2000</v>
      </c>
      <c r="D44" s="74"/>
      <c r="E44" s="4">
        <f>354087/1000</f>
        <v>354.08699999999999</v>
      </c>
      <c r="F44" s="68">
        <f t="shared" si="3"/>
        <v>-10.289587028122627</v>
      </c>
      <c r="G44" s="73">
        <v>612</v>
      </c>
      <c r="H44" s="12">
        <f>1030857/1000</f>
        <v>1030.857</v>
      </c>
      <c r="I44" s="4">
        <f t="shared" si="5"/>
        <v>-0.44838242394978911</v>
      </c>
      <c r="J44" s="69">
        <f t="shared" si="4"/>
        <v>1384.944</v>
      </c>
      <c r="K44" s="75">
        <f>(J44/J43-1)*100</f>
        <v>-3.1643126835407709</v>
      </c>
      <c r="N44" s="12"/>
      <c r="O44" s="12"/>
      <c r="P44" s="12"/>
    </row>
    <row r="45" spans="2:16" ht="14.25" x14ac:dyDescent="0.2">
      <c r="B45" s="1"/>
      <c r="C45" s="71"/>
      <c r="D45" s="76"/>
      <c r="E45" s="77"/>
      <c r="F45" s="68"/>
      <c r="G45" s="73"/>
      <c r="H45" s="78"/>
      <c r="I45" s="4"/>
      <c r="J45" s="69"/>
      <c r="K45" s="70"/>
      <c r="N45" s="12"/>
      <c r="O45" s="13"/>
      <c r="P45" s="14"/>
    </row>
    <row r="46" spans="2:16" x14ac:dyDescent="0.2">
      <c r="B46" s="1"/>
      <c r="C46" s="79">
        <v>2001</v>
      </c>
      <c r="D46" s="15"/>
      <c r="E46" s="4">
        <v>334.00200000000001</v>
      </c>
      <c r="F46" s="68">
        <f>(E46/E44-1)*100</f>
        <v>-5.6723347651848162</v>
      </c>
      <c r="G46" s="73">
        <v>611</v>
      </c>
      <c r="H46" s="12">
        <f>1214757/1000</f>
        <v>1214.7570000000001</v>
      </c>
      <c r="I46" s="4">
        <f>(H46/H44-1)*100</f>
        <v>17.839525753814556</v>
      </c>
      <c r="J46" s="69">
        <f t="shared" si="4"/>
        <v>1548.759</v>
      </c>
      <c r="K46" s="70">
        <f>(J46/J44-1)*100</f>
        <v>11.828276089141522</v>
      </c>
      <c r="N46" s="12"/>
      <c r="O46" s="12"/>
      <c r="P46" s="12"/>
    </row>
    <row r="47" spans="2:16" ht="14.25" x14ac:dyDescent="0.2">
      <c r="B47" s="1"/>
      <c r="C47" s="79">
        <v>2002</v>
      </c>
      <c r="D47" s="16" t="s">
        <v>11</v>
      </c>
      <c r="E47" s="4">
        <v>302.70100000000002</v>
      </c>
      <c r="F47" s="68">
        <f t="shared" si="3"/>
        <v>-9.371500769456464</v>
      </c>
      <c r="G47" s="73">
        <v>732</v>
      </c>
      <c r="H47" s="12">
        <f>1574750/1000</f>
        <v>1574.75</v>
      </c>
      <c r="I47" s="4">
        <f t="shared" si="5"/>
        <v>29.634980494041187</v>
      </c>
      <c r="J47" s="69">
        <f t="shared" si="4"/>
        <v>1877.451</v>
      </c>
      <c r="K47" s="70">
        <f t="shared" ref="K47:K62" si="6">(J47/J46-1)*100</f>
        <v>21.222927518096757</v>
      </c>
      <c r="N47" s="12"/>
      <c r="O47" s="12"/>
      <c r="P47" s="12"/>
    </row>
    <row r="48" spans="2:16" x14ac:dyDescent="0.2">
      <c r="B48" s="1"/>
      <c r="C48" s="79">
        <v>2003</v>
      </c>
      <c r="D48" s="15"/>
      <c r="E48" s="4">
        <v>293.41399999999999</v>
      </c>
      <c r="F48" s="68">
        <f t="shared" si="3"/>
        <v>-3.0680440434620371</v>
      </c>
      <c r="G48" s="73">
        <v>825</v>
      </c>
      <c r="H48" s="12">
        <v>1818.979</v>
      </c>
      <c r="I48" s="4">
        <f t="shared" si="5"/>
        <v>15.509064930941419</v>
      </c>
      <c r="J48" s="69">
        <f t="shared" si="4"/>
        <v>2112.393</v>
      </c>
      <c r="K48" s="70">
        <f t="shared" si="6"/>
        <v>12.513881853640928</v>
      </c>
      <c r="N48" s="12"/>
      <c r="O48" s="12"/>
      <c r="P48" s="12"/>
    </row>
    <row r="49" spans="2:28" ht="15" x14ac:dyDescent="0.25">
      <c r="B49" s="1"/>
      <c r="C49" s="79">
        <v>2004</v>
      </c>
      <c r="D49" s="15"/>
      <c r="E49" s="4">
        <v>259.88499999999999</v>
      </c>
      <c r="F49" s="68">
        <f t="shared" si="3"/>
        <v>-11.42719842952279</v>
      </c>
      <c r="G49" s="73">
        <v>732</v>
      </c>
      <c r="H49" s="4">
        <v>1693.2929999999999</v>
      </c>
      <c r="I49" s="4">
        <f>(H49/H48-1)*100</f>
        <v>-6.9097004418412826</v>
      </c>
      <c r="J49" s="69">
        <f t="shared" si="4"/>
        <v>1953.1779999999999</v>
      </c>
      <c r="K49" s="75">
        <f t="shared" si="6"/>
        <v>-7.5371864989137949</v>
      </c>
      <c r="N49" s="12"/>
      <c r="O49" s="4"/>
      <c r="P49" s="4"/>
      <c r="Q49" s="3"/>
      <c r="V49" s="3"/>
      <c r="W49" s="3"/>
      <c r="X49" s="3"/>
      <c r="Z49" s="3"/>
      <c r="AA49" s="3"/>
      <c r="AB49" s="3"/>
    </row>
    <row r="50" spans="2:28" x14ac:dyDescent="0.2">
      <c r="B50" s="1"/>
      <c r="C50" s="79">
        <v>2005</v>
      </c>
      <c r="D50" s="15"/>
      <c r="E50" s="4">
        <v>167.76</v>
      </c>
      <c r="F50" s="68">
        <f t="shared" si="3"/>
        <v>-35.448371395040112</v>
      </c>
      <c r="G50" s="73">
        <v>784</v>
      </c>
      <c r="H50" s="12">
        <v>1799</v>
      </c>
      <c r="I50" s="4">
        <f>(H50/H49-1)*100</f>
        <v>6.2426880640267246</v>
      </c>
      <c r="J50" s="69">
        <f t="shared" si="4"/>
        <v>1966.76</v>
      </c>
      <c r="K50" s="70">
        <f t="shared" si="6"/>
        <v>0.69537953018108389</v>
      </c>
      <c r="N50" s="12"/>
      <c r="O50" s="12"/>
      <c r="P50" s="12"/>
    </row>
    <row r="51" spans="2:28" x14ac:dyDescent="0.2">
      <c r="B51" s="1"/>
      <c r="C51" s="79"/>
      <c r="D51" s="15"/>
      <c r="E51" s="78"/>
      <c r="F51" s="68"/>
      <c r="G51" s="73"/>
      <c r="H51" s="78"/>
      <c r="I51" s="4"/>
      <c r="J51" s="69"/>
      <c r="K51" s="70"/>
      <c r="N51" s="12"/>
      <c r="O51" s="14"/>
      <c r="P51" s="14"/>
    </row>
    <row r="52" spans="2:28" x14ac:dyDescent="0.2">
      <c r="B52" s="1"/>
      <c r="C52" s="79">
        <v>2006</v>
      </c>
      <c r="D52" s="15"/>
      <c r="E52" s="4">
        <v>267.22800000000001</v>
      </c>
      <c r="F52" s="68">
        <f>(E52/E50-1)*100</f>
        <v>59.291845493562256</v>
      </c>
      <c r="G52" s="73">
        <v>802</v>
      </c>
      <c r="H52" s="4">
        <v>1930.1</v>
      </c>
      <c r="I52" s="4">
        <f>(H52/H50-1)*100</f>
        <v>7.2873818788215639</v>
      </c>
      <c r="J52" s="69">
        <f t="shared" si="4"/>
        <v>2197.328</v>
      </c>
      <c r="K52" s="70">
        <f>(J52/J50-1)*100</f>
        <v>11.723240253004953</v>
      </c>
      <c r="N52" s="12"/>
      <c r="O52" s="4"/>
      <c r="P52" s="4"/>
    </row>
    <row r="53" spans="2:28" x14ac:dyDescent="0.2">
      <c r="B53" s="1"/>
      <c r="C53" s="79">
        <v>2007</v>
      </c>
      <c r="D53" s="15"/>
      <c r="E53" s="4">
        <v>291.476</v>
      </c>
      <c r="F53" s="68">
        <f>(E53/E52-1)*100</f>
        <v>9.0738994416752696</v>
      </c>
      <c r="G53" s="73">
        <v>657</v>
      </c>
      <c r="H53" s="4">
        <v>1715.7</v>
      </c>
      <c r="I53" s="4">
        <f>(H53/H52-1)*100</f>
        <v>-11.108232734055223</v>
      </c>
      <c r="J53" s="69">
        <f t="shared" si="4"/>
        <v>2007.1759999999999</v>
      </c>
      <c r="K53" s="75">
        <f t="shared" si="6"/>
        <v>-8.6537831402503365</v>
      </c>
      <c r="N53" s="12"/>
      <c r="O53" s="4"/>
      <c r="P53" s="4"/>
    </row>
    <row r="54" spans="2:28" x14ac:dyDescent="0.2">
      <c r="C54" s="1">
        <v>2008</v>
      </c>
      <c r="D54" s="1"/>
      <c r="E54" s="4">
        <v>302.87200000000001</v>
      </c>
      <c r="F54" s="68">
        <f>(E54/E53-1)*100</f>
        <v>3.9097558632614771</v>
      </c>
      <c r="G54" s="73">
        <v>570</v>
      </c>
      <c r="H54" s="4">
        <v>1553.1</v>
      </c>
      <c r="I54" s="4">
        <f>(H54/H53-1)*100</f>
        <v>-9.4771813254065478</v>
      </c>
      <c r="J54" s="69">
        <f t="shared" si="4"/>
        <v>1855.972</v>
      </c>
      <c r="K54" s="75">
        <f t="shared" si="6"/>
        <v>-7.5331709825147364</v>
      </c>
      <c r="N54" s="17"/>
      <c r="O54" s="17"/>
      <c r="P54" s="17"/>
    </row>
    <row r="55" spans="2:28" x14ac:dyDescent="0.2">
      <c r="C55" s="1">
        <v>2009</v>
      </c>
      <c r="D55" s="1"/>
      <c r="E55" s="4">
        <v>271.94799999999998</v>
      </c>
      <c r="F55" s="68">
        <f>(E55/E54-1)*100</f>
        <v>-10.210253836604256</v>
      </c>
      <c r="G55" s="80">
        <v>547</v>
      </c>
      <c r="H55" s="81">
        <v>1520.4</v>
      </c>
      <c r="I55" s="4">
        <f>(H55/H54-1)*100</f>
        <v>-2.1054664863820682</v>
      </c>
      <c r="J55" s="69">
        <f t="shared" si="4"/>
        <v>1792.348</v>
      </c>
      <c r="K55" s="75">
        <f t="shared" si="6"/>
        <v>-3.4280689579368695</v>
      </c>
      <c r="N55" s="4"/>
      <c r="O55" s="4"/>
      <c r="P55" s="4"/>
    </row>
    <row r="56" spans="2:28" x14ac:dyDescent="0.2">
      <c r="C56" s="1">
        <v>2010</v>
      </c>
      <c r="D56" s="1"/>
      <c r="E56" s="82">
        <v>288.25700000000001</v>
      </c>
      <c r="F56" s="4">
        <f>(E56/E55-1)*100</f>
        <v>5.9971023872210871</v>
      </c>
      <c r="G56" s="61">
        <v>570</v>
      </c>
      <c r="H56" s="4">
        <v>1597.838</v>
      </c>
      <c r="I56" s="4">
        <f>(H56/H55-1)*100</f>
        <v>5.0932649302815047</v>
      </c>
      <c r="J56" s="69">
        <f t="shared" si="4"/>
        <v>1886.095</v>
      </c>
      <c r="K56" s="70">
        <f t="shared" si="6"/>
        <v>5.2304016853869983</v>
      </c>
      <c r="N56" s="12"/>
      <c r="O56" s="4"/>
    </row>
    <row r="57" spans="2:28" x14ac:dyDescent="0.2">
      <c r="C57" s="1"/>
      <c r="D57" s="1"/>
      <c r="E57" s="82"/>
      <c r="F57" s="4"/>
      <c r="G57" s="61"/>
      <c r="H57" s="4"/>
      <c r="I57" s="4"/>
      <c r="J57" s="69"/>
      <c r="K57" s="70"/>
      <c r="L57" s="4"/>
    </row>
    <row r="58" spans="2:28" x14ac:dyDescent="0.2">
      <c r="C58" s="1">
        <v>2011</v>
      </c>
      <c r="D58" s="1"/>
      <c r="E58" s="82">
        <v>309.08699999999999</v>
      </c>
      <c r="F58" s="4">
        <f>(E58/E56-1)*100</f>
        <v>7.2261905174896057</v>
      </c>
      <c r="G58" s="61">
        <v>523</v>
      </c>
      <c r="H58" s="4">
        <v>1401.5</v>
      </c>
      <c r="I58" s="4">
        <f>(H58/H56-1)*100</f>
        <v>-12.28772879353226</v>
      </c>
      <c r="J58" s="69">
        <f t="shared" si="4"/>
        <v>1710.587</v>
      </c>
      <c r="K58" s="75">
        <f>(J58/J56-1)*100</f>
        <v>-9.305363727701943</v>
      </c>
      <c r="L58" s="4"/>
    </row>
    <row r="59" spans="2:28" x14ac:dyDescent="0.2">
      <c r="C59" s="1">
        <v>2012</v>
      </c>
      <c r="D59" s="1"/>
      <c r="E59" s="82">
        <v>321.642</v>
      </c>
      <c r="F59" s="4">
        <f t="shared" ref="F59:F66" si="7">(E59/E58-1)*100</f>
        <v>4.0619631365926168</v>
      </c>
      <c r="G59" s="61">
        <v>525</v>
      </c>
      <c r="H59" s="4">
        <v>1507.4</v>
      </c>
      <c r="I59" s="4">
        <f>(H59/H58-1)*100</f>
        <v>7.5561897966464509</v>
      </c>
      <c r="J59" s="69">
        <f t="shared" si="4"/>
        <v>1829.0420000000001</v>
      </c>
      <c r="K59" s="70">
        <f t="shared" si="6"/>
        <v>6.9248158673016924</v>
      </c>
      <c r="L59" s="4"/>
    </row>
    <row r="60" spans="2:28" x14ac:dyDescent="0.2">
      <c r="C60" s="1">
        <v>2013</v>
      </c>
      <c r="D60" s="1"/>
      <c r="E60" s="82">
        <v>345.38</v>
      </c>
      <c r="F60" s="68">
        <f t="shared" si="7"/>
        <v>7.3802550661915989</v>
      </c>
      <c r="G60" s="61">
        <v>480</v>
      </c>
      <c r="H60" s="4">
        <v>1375.9</v>
      </c>
      <c r="I60" s="4">
        <f>(H60/H58-1)*100</f>
        <v>-1.8266143417766667</v>
      </c>
      <c r="J60" s="69">
        <f t="shared" si="4"/>
        <v>1721.2800000000002</v>
      </c>
      <c r="K60" s="75">
        <f t="shared" si="6"/>
        <v>-5.8917181781500849</v>
      </c>
      <c r="L60" s="4"/>
    </row>
    <row r="61" spans="2:28" x14ac:dyDescent="0.2">
      <c r="C61" s="1">
        <v>2014</v>
      </c>
      <c r="D61" s="1"/>
      <c r="E61" s="82">
        <v>382.81599999999997</v>
      </c>
      <c r="F61" s="83">
        <f t="shared" si="7"/>
        <v>10.839075800567489</v>
      </c>
      <c r="G61" s="84">
        <v>562</v>
      </c>
      <c r="H61" s="4">
        <v>1609.6</v>
      </c>
      <c r="I61" s="82">
        <f t="shared" ref="I61:I66" si="8">(H61/H60-1)*100</f>
        <v>16.98524602078637</v>
      </c>
      <c r="J61" s="69">
        <f t="shared" ref="J61:J66" si="9">SUM(E61)+H61</f>
        <v>1992.4159999999999</v>
      </c>
      <c r="K61" s="70">
        <f>(J61/J60-1)*100</f>
        <v>15.7519985127347</v>
      </c>
      <c r="L61" s="4"/>
    </row>
    <row r="62" spans="2:28" x14ac:dyDescent="0.2">
      <c r="C62" s="1">
        <v>2015</v>
      </c>
      <c r="D62" s="1"/>
      <c r="E62" s="82">
        <v>385.37799999999999</v>
      </c>
      <c r="F62" s="82">
        <f t="shared" si="7"/>
        <v>0.66925102399064684</v>
      </c>
      <c r="G62" s="85">
        <v>575</v>
      </c>
      <c r="H62" s="4">
        <v>1716.8119999999999</v>
      </c>
      <c r="I62" s="82">
        <f t="shared" si="8"/>
        <v>6.6607852882703877</v>
      </c>
      <c r="J62" s="69">
        <f t="shared" si="9"/>
        <v>2102.19</v>
      </c>
      <c r="K62" s="70">
        <f t="shared" si="6"/>
        <v>5.5095923742832786</v>
      </c>
      <c r="L62" s="4"/>
    </row>
    <row r="63" spans="2:28" x14ac:dyDescent="0.2">
      <c r="C63" s="1">
        <v>2016</v>
      </c>
      <c r="D63" s="1"/>
      <c r="E63" s="82">
        <v>385.5</v>
      </c>
      <c r="F63" s="82">
        <f t="shared" si="7"/>
        <v>3.1657230044279672E-2</v>
      </c>
      <c r="G63" s="85">
        <v>577</v>
      </c>
      <c r="H63" s="4">
        <v>1711.8489999999999</v>
      </c>
      <c r="I63" s="82">
        <f t="shared" si="8"/>
        <v>-0.2890823223509642</v>
      </c>
      <c r="J63" s="69">
        <f t="shared" si="9"/>
        <v>2097.3490000000002</v>
      </c>
      <c r="K63" s="75">
        <f t="shared" ref="K63:K66" si="10">(J63/J62-1)*100</f>
        <v>-0.2302836565676647</v>
      </c>
      <c r="L63" s="4"/>
    </row>
    <row r="64" spans="2:28" x14ac:dyDescent="0.2">
      <c r="C64" s="1">
        <v>2017</v>
      </c>
      <c r="D64" s="1"/>
      <c r="E64" s="82">
        <v>418.4</v>
      </c>
      <c r="F64" s="82">
        <f t="shared" si="7"/>
        <v>8.5343709468222997</v>
      </c>
      <c r="G64" s="85">
        <v>569</v>
      </c>
      <c r="H64" s="4">
        <v>1728.4</v>
      </c>
      <c r="I64" s="82">
        <f t="shared" si="8"/>
        <v>0.96684929570307609</v>
      </c>
      <c r="J64" s="69">
        <f t="shared" si="9"/>
        <v>2146.8000000000002</v>
      </c>
      <c r="K64" s="75">
        <f t="shared" si="10"/>
        <v>2.3577859478799201</v>
      </c>
      <c r="L64" s="4"/>
    </row>
    <row r="65" spans="2:18" x14ac:dyDescent="0.2">
      <c r="C65" s="1">
        <v>2018</v>
      </c>
      <c r="D65" s="1"/>
      <c r="E65" s="82">
        <v>463</v>
      </c>
      <c r="F65" s="82">
        <f t="shared" si="7"/>
        <v>10.659655831739979</v>
      </c>
      <c r="G65" s="85">
        <v>638</v>
      </c>
      <c r="H65" s="4">
        <v>1921</v>
      </c>
      <c r="I65" s="82">
        <f t="shared" si="8"/>
        <v>11.14325387641748</v>
      </c>
      <c r="J65" s="69">
        <f t="shared" si="9"/>
        <v>2384</v>
      </c>
      <c r="K65" s="75">
        <f t="shared" si="10"/>
        <v>11.049003167505123</v>
      </c>
      <c r="L65" s="4"/>
    </row>
    <row r="66" spans="2:18" x14ac:dyDescent="0.2">
      <c r="C66" s="51">
        <v>2019</v>
      </c>
      <c r="D66" s="51"/>
      <c r="E66" s="86">
        <v>502.7</v>
      </c>
      <c r="F66" s="87">
        <f t="shared" si="7"/>
        <v>8.5745140388768792</v>
      </c>
      <c r="G66" s="88">
        <v>601</v>
      </c>
      <c r="H66" s="17">
        <v>1831</v>
      </c>
      <c r="I66" s="86">
        <f t="shared" si="8"/>
        <v>-4.6850598646538284</v>
      </c>
      <c r="J66" s="89">
        <f t="shared" si="9"/>
        <v>2333.6999999999998</v>
      </c>
      <c r="K66" s="90">
        <f t="shared" si="10"/>
        <v>-2.1098993288590662</v>
      </c>
      <c r="L66" s="4"/>
    </row>
    <row r="67" spans="2:18" x14ac:dyDescent="0.2">
      <c r="C67" s="91" t="s">
        <v>12</v>
      </c>
      <c r="D67" s="1"/>
      <c r="E67" s="4"/>
      <c r="F67" s="4"/>
      <c r="G67" s="1"/>
      <c r="H67" s="4"/>
      <c r="I67" s="4"/>
      <c r="K67" s="12"/>
    </row>
    <row r="68" spans="2:18" x14ac:dyDescent="0.2">
      <c r="C68" s="84" t="s">
        <v>13</v>
      </c>
      <c r="D68" s="1"/>
      <c r="E68" s="1"/>
      <c r="F68" s="1"/>
      <c r="G68" s="1"/>
      <c r="H68" s="1"/>
      <c r="I68" s="1"/>
      <c r="K68" s="12"/>
    </row>
    <row r="69" spans="2:18" ht="15" x14ac:dyDescent="0.2">
      <c r="B69" s="92"/>
      <c r="C69" s="210" t="s">
        <v>14</v>
      </c>
      <c r="D69" s="210"/>
      <c r="E69" s="210"/>
      <c r="F69" s="210"/>
      <c r="G69" s="210"/>
      <c r="H69" s="210"/>
      <c r="I69" s="210"/>
      <c r="K69" s="12"/>
      <c r="O69" s="18" t="s">
        <v>3</v>
      </c>
      <c r="P69" s="5" t="s">
        <v>15</v>
      </c>
      <c r="Q69" s="19" t="s">
        <v>16</v>
      </c>
      <c r="R69" s="6" t="s">
        <v>10</v>
      </c>
    </row>
    <row r="70" spans="2:18" ht="14.25" x14ac:dyDescent="0.2">
      <c r="B70" s="16"/>
      <c r="C70" s="210"/>
      <c r="D70" s="210"/>
      <c r="E70" s="210"/>
      <c r="F70" s="210"/>
      <c r="G70" s="210"/>
      <c r="H70" s="210"/>
      <c r="I70" s="210"/>
      <c r="O70" s="2">
        <v>2004</v>
      </c>
      <c r="P70" s="4">
        <f>+E49</f>
        <v>259.88499999999999</v>
      </c>
      <c r="Q70" s="11">
        <f>+H49</f>
        <v>1693.2929999999999</v>
      </c>
      <c r="R70" s="7">
        <f t="shared" ref="R70:R77" si="11">+Q70+P70</f>
        <v>1953.1779999999999</v>
      </c>
    </row>
    <row r="71" spans="2:18" ht="14.25" x14ac:dyDescent="0.2">
      <c r="B71" s="16"/>
      <c r="C71" s="93"/>
      <c r="D71" s="93"/>
      <c r="E71" s="93"/>
      <c r="F71" s="93"/>
      <c r="G71" s="93"/>
      <c r="H71" s="93"/>
      <c r="I71" s="93"/>
      <c r="P71" s="4"/>
      <c r="Q71" s="11"/>
      <c r="R71" s="7"/>
    </row>
    <row r="72" spans="2:18" ht="14.25" x14ac:dyDescent="0.2">
      <c r="C72" s="20" t="s">
        <v>77</v>
      </c>
      <c r="D72" s="1"/>
      <c r="E72" s="1"/>
      <c r="F72" s="1"/>
      <c r="G72" s="1"/>
      <c r="H72" s="1"/>
      <c r="I72" s="1"/>
      <c r="O72" s="2">
        <v>2005</v>
      </c>
      <c r="P72" s="12">
        <f>+E50</f>
        <v>167.76</v>
      </c>
      <c r="Q72" s="11">
        <f>+H50</f>
        <v>1799</v>
      </c>
      <c r="R72" s="7">
        <f t="shared" si="11"/>
        <v>1966.76</v>
      </c>
    </row>
    <row r="73" spans="2:18" ht="14.25" x14ac:dyDescent="0.2">
      <c r="O73" s="2">
        <v>2006</v>
      </c>
      <c r="P73" s="14">
        <f>+E52</f>
        <v>267.22800000000001</v>
      </c>
      <c r="Q73" s="11">
        <f>+H52</f>
        <v>1930.1</v>
      </c>
      <c r="R73" s="7">
        <f t="shared" si="11"/>
        <v>2197.328</v>
      </c>
    </row>
    <row r="74" spans="2:18" ht="14.25" x14ac:dyDescent="0.2">
      <c r="O74" s="2">
        <v>2007</v>
      </c>
      <c r="P74" s="14">
        <f>+E53</f>
        <v>291.476</v>
      </c>
      <c r="Q74" s="11">
        <f>+H53</f>
        <v>1715.7</v>
      </c>
      <c r="R74" s="7">
        <f t="shared" si="11"/>
        <v>2007.1759999999999</v>
      </c>
    </row>
    <row r="75" spans="2:18" ht="14.25" x14ac:dyDescent="0.2">
      <c r="O75" s="2">
        <v>2008</v>
      </c>
      <c r="P75" s="14">
        <f>+E54</f>
        <v>302.87200000000001</v>
      </c>
      <c r="Q75" s="11">
        <f>+H54</f>
        <v>1553.1</v>
      </c>
      <c r="R75" s="7">
        <f t="shared" si="11"/>
        <v>1855.972</v>
      </c>
    </row>
    <row r="76" spans="2:18" ht="14.25" x14ac:dyDescent="0.2">
      <c r="O76" s="2">
        <v>2009</v>
      </c>
      <c r="P76" s="4">
        <f>E55</f>
        <v>271.94799999999998</v>
      </c>
      <c r="Q76" s="12">
        <f>H55</f>
        <v>1520.4</v>
      </c>
      <c r="R76" s="7">
        <f t="shared" si="11"/>
        <v>1792.348</v>
      </c>
    </row>
    <row r="77" spans="2:18" ht="14.25" x14ac:dyDescent="0.2">
      <c r="L77" s="21">
        <v>25845</v>
      </c>
      <c r="M77" s="2">
        <v>195217</v>
      </c>
      <c r="O77" s="2">
        <v>2010</v>
      </c>
      <c r="P77" s="12">
        <f>E56</f>
        <v>288.25700000000001</v>
      </c>
      <c r="Q77" s="12">
        <f>H56</f>
        <v>1597.838</v>
      </c>
      <c r="R77" s="7">
        <f t="shared" si="11"/>
        <v>1886.095</v>
      </c>
    </row>
    <row r="78" spans="2:18" x14ac:dyDescent="0.2">
      <c r="L78" s="21">
        <v>30380</v>
      </c>
      <c r="M78" s="2">
        <v>176154</v>
      </c>
    </row>
    <row r="79" spans="2:18" x14ac:dyDescent="0.2">
      <c r="L79" s="21">
        <v>38425</v>
      </c>
      <c r="M79" s="2">
        <v>182622</v>
      </c>
    </row>
    <row r="80" spans="2:18" x14ac:dyDescent="0.2">
      <c r="L80" s="21">
        <v>29978</v>
      </c>
      <c r="M80" s="2">
        <v>153049</v>
      </c>
    </row>
    <row r="81" spans="2:13" x14ac:dyDescent="0.2">
      <c r="L81" s="21">
        <v>25722</v>
      </c>
      <c r="M81" s="2">
        <v>101312</v>
      </c>
    </row>
    <row r="82" spans="2:13" x14ac:dyDescent="0.2">
      <c r="L82" s="21">
        <v>27971</v>
      </c>
      <c r="M82" s="2">
        <v>93120</v>
      </c>
    </row>
    <row r="83" spans="2:13" x14ac:dyDescent="0.2">
      <c r="L83" s="21">
        <v>30008</v>
      </c>
      <c r="M83" s="2">
        <v>108514</v>
      </c>
    </row>
    <row r="84" spans="2:13" x14ac:dyDescent="0.2">
      <c r="L84" s="21">
        <v>21629</v>
      </c>
      <c r="M84" s="2">
        <v>87381</v>
      </c>
    </row>
    <row r="85" spans="2:13" x14ac:dyDescent="0.2">
      <c r="L85" s="21">
        <v>10330</v>
      </c>
      <c r="M85" s="2">
        <v>69372</v>
      </c>
    </row>
    <row r="86" spans="2:13" x14ac:dyDescent="0.2">
      <c r="L86" s="21">
        <v>14710</v>
      </c>
      <c r="M86" s="2">
        <v>105366</v>
      </c>
    </row>
    <row r="87" spans="2:13" x14ac:dyDescent="0.2">
      <c r="L87" s="21">
        <v>19731</v>
      </c>
      <c r="M87" s="2">
        <v>117221</v>
      </c>
    </row>
    <row r="88" spans="2:13" x14ac:dyDescent="0.2">
      <c r="L88" s="21">
        <v>28150</v>
      </c>
      <c r="M88" s="2">
        <v>163725</v>
      </c>
    </row>
    <row r="89" spans="2:13" x14ac:dyDescent="0.2">
      <c r="L89" s="22">
        <f>SUM(L77:L88)</f>
        <v>302879</v>
      </c>
      <c r="M89" s="23">
        <f>SUM(M77:M88)</f>
        <v>1553053</v>
      </c>
    </row>
    <row r="90" spans="2:13" x14ac:dyDescent="0.2">
      <c r="E90" s="24"/>
    </row>
    <row r="93" spans="2:13" ht="9" customHeight="1" x14ac:dyDescent="0.2">
      <c r="B93" s="25"/>
      <c r="C93" s="25"/>
      <c r="D93" s="25"/>
      <c r="E93" s="25"/>
      <c r="F93" s="25"/>
      <c r="G93" s="25"/>
      <c r="H93" s="25"/>
      <c r="I93" s="25"/>
    </row>
    <row r="94" spans="2:13" x14ac:dyDescent="0.2">
      <c r="B94" s="211">
        <v>123</v>
      </c>
      <c r="C94" s="211"/>
      <c r="D94" s="211"/>
      <c r="E94" s="211"/>
      <c r="F94" s="211"/>
      <c r="G94" s="211"/>
      <c r="H94" s="211"/>
      <c r="I94" s="211"/>
      <c r="J94" s="211"/>
      <c r="K94" s="26"/>
      <c r="L94" s="26"/>
    </row>
  </sheetData>
  <mergeCells count="4">
    <mergeCell ref="C7:J7"/>
    <mergeCell ref="J10:K10"/>
    <mergeCell ref="C69:I70"/>
    <mergeCell ref="B94:J94"/>
  </mergeCells>
  <printOptions horizontalCentered="1"/>
  <pageMargins left="1" right="1" top="1" bottom="1" header="0.5" footer="0.24"/>
  <pageSetup scale="66" orientation="portrait" r:id="rId1"/>
  <headerFooter alignWithMargins="0"/>
  <ignoredErrors>
    <ignoredError sqref="J46:J61 J41:J44 I59:I60 J62:J66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9525</xdr:rowOff>
              </from>
              <to>
                <xdr:col>1</xdr:col>
                <xdr:colOff>257175</xdr:colOff>
                <xdr:row>2</xdr:row>
                <xdr:rowOff>123825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3:BA83"/>
  <sheetViews>
    <sheetView zoomScaleNormal="100" zoomScaleSheetLayoutView="100" workbookViewId="0">
      <selection activeCell="AJ50" sqref="AJ50"/>
    </sheetView>
  </sheetViews>
  <sheetFormatPr defaultColWidth="9.140625" defaultRowHeight="12.75" x14ac:dyDescent="0.2"/>
  <cols>
    <col min="1" max="1" width="9.140625" style="2"/>
    <col min="2" max="2" width="7.7109375" style="2" customWidth="1"/>
    <col min="3" max="3" width="16.28515625" style="2" customWidth="1"/>
    <col min="4" max="9" width="8.7109375" style="2" hidden="1" customWidth="1"/>
    <col min="10" max="10" width="9.42578125" style="2" hidden="1" customWidth="1"/>
    <col min="11" max="12" width="8.7109375" style="2" hidden="1" customWidth="1"/>
    <col min="13" max="14" width="13.28515625" style="2" hidden="1" customWidth="1"/>
    <col min="15" max="24" width="7.28515625" style="2" hidden="1" customWidth="1"/>
    <col min="25" max="29" width="9.140625" style="2" customWidth="1"/>
    <col min="30" max="16384" width="9.140625" style="2"/>
  </cols>
  <sheetData>
    <row r="3" spans="2:53" x14ac:dyDescent="0.2">
      <c r="AF3" s="8" t="s">
        <v>111</v>
      </c>
    </row>
    <row r="4" spans="2:53" ht="15" x14ac:dyDescent="0.25"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</row>
    <row r="7" spans="2:53" ht="15.75" x14ac:dyDescent="0.25">
      <c r="B7" s="27">
        <v>15.02</v>
      </c>
      <c r="C7" s="207" t="s">
        <v>114</v>
      </c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</row>
    <row r="9" spans="2:53" x14ac:dyDescent="0.2">
      <c r="C9" s="212" t="s">
        <v>18</v>
      </c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</row>
    <row r="10" spans="2:53" ht="14.25" x14ac:dyDescent="0.2">
      <c r="C10" s="214" t="s">
        <v>19</v>
      </c>
      <c r="D10" s="94">
        <v>1996</v>
      </c>
      <c r="E10" s="94">
        <v>1997</v>
      </c>
      <c r="F10" s="94">
        <v>1998</v>
      </c>
      <c r="G10" s="94">
        <v>1999</v>
      </c>
      <c r="H10" s="95" t="s">
        <v>20</v>
      </c>
      <c r="I10" s="96">
        <v>2001</v>
      </c>
      <c r="J10" s="96">
        <v>2002</v>
      </c>
      <c r="K10" s="96">
        <v>2003</v>
      </c>
      <c r="L10" s="95">
        <v>2004</v>
      </c>
      <c r="M10" s="96">
        <v>2005</v>
      </c>
      <c r="N10" s="96">
        <v>2006</v>
      </c>
      <c r="O10" s="208">
        <v>2008</v>
      </c>
      <c r="P10" s="216"/>
      <c r="Q10" s="208">
        <v>2009</v>
      </c>
      <c r="R10" s="216"/>
      <c r="S10" s="208">
        <v>2010</v>
      </c>
      <c r="T10" s="216"/>
      <c r="U10" s="209">
        <v>2011</v>
      </c>
      <c r="V10" s="209"/>
      <c r="W10" s="208">
        <v>2012</v>
      </c>
      <c r="X10" s="209"/>
      <c r="Y10" s="208">
        <v>2013</v>
      </c>
      <c r="Z10" s="209"/>
      <c r="AA10" s="208">
        <v>2014</v>
      </c>
      <c r="AB10" s="209"/>
      <c r="AC10" s="208">
        <v>2015</v>
      </c>
      <c r="AD10" s="209"/>
      <c r="AE10" s="208">
        <v>2016</v>
      </c>
      <c r="AF10" s="209"/>
      <c r="AG10" s="208">
        <v>2017</v>
      </c>
      <c r="AH10" s="209"/>
      <c r="AI10" s="208">
        <v>2018</v>
      </c>
      <c r="AJ10" s="209"/>
      <c r="AK10" s="208">
        <v>2019</v>
      </c>
      <c r="AL10" s="209"/>
    </row>
    <row r="11" spans="2:53" x14ac:dyDescent="0.2">
      <c r="C11" s="215"/>
      <c r="D11" s="97"/>
      <c r="E11" s="97"/>
      <c r="F11" s="97"/>
      <c r="G11" s="97"/>
      <c r="H11" s="98"/>
      <c r="I11" s="99"/>
      <c r="J11" s="99"/>
      <c r="K11" s="99"/>
      <c r="L11" s="98"/>
      <c r="M11" s="99"/>
      <c r="N11" s="99"/>
      <c r="O11" s="100" t="s">
        <v>21</v>
      </c>
      <c r="P11" s="101" t="s">
        <v>22</v>
      </c>
      <c r="Q11" s="100" t="s">
        <v>21</v>
      </c>
      <c r="R11" s="101" t="s">
        <v>22</v>
      </c>
      <c r="S11" s="100" t="s">
        <v>21</v>
      </c>
      <c r="T11" s="101" t="s">
        <v>22</v>
      </c>
      <c r="U11" s="98" t="s">
        <v>21</v>
      </c>
      <c r="V11" s="98" t="s">
        <v>22</v>
      </c>
      <c r="W11" s="102" t="s">
        <v>21</v>
      </c>
      <c r="X11" s="98" t="s">
        <v>22</v>
      </c>
      <c r="Y11" s="102" t="s">
        <v>21</v>
      </c>
      <c r="Z11" s="98" t="s">
        <v>22</v>
      </c>
      <c r="AA11" s="102" t="s">
        <v>21</v>
      </c>
      <c r="AB11" s="98" t="s">
        <v>22</v>
      </c>
      <c r="AC11" s="102" t="s">
        <v>21</v>
      </c>
      <c r="AD11" s="98" t="s">
        <v>22</v>
      </c>
      <c r="AE11" s="102" t="s">
        <v>21</v>
      </c>
      <c r="AF11" s="98" t="s">
        <v>22</v>
      </c>
      <c r="AG11" s="102" t="s">
        <v>21</v>
      </c>
      <c r="AH11" s="98" t="s">
        <v>22</v>
      </c>
      <c r="AI11" s="102" t="s">
        <v>21</v>
      </c>
      <c r="AJ11" s="98" t="s">
        <v>22</v>
      </c>
      <c r="AK11" s="102" t="s">
        <v>21</v>
      </c>
      <c r="AL11" s="98" t="s">
        <v>22</v>
      </c>
    </row>
    <row r="12" spans="2:53" x14ac:dyDescent="0.2">
      <c r="C12" s="103"/>
      <c r="D12" s="104"/>
      <c r="E12" s="104"/>
      <c r="F12" s="104"/>
      <c r="G12" s="104"/>
      <c r="H12" s="105"/>
      <c r="I12" s="91"/>
      <c r="J12" s="91"/>
      <c r="K12" s="91"/>
      <c r="L12" s="105"/>
      <c r="M12" s="91"/>
      <c r="N12" s="91"/>
      <c r="O12" s="106"/>
      <c r="P12" s="107"/>
      <c r="Q12" s="106"/>
      <c r="R12" s="107"/>
      <c r="S12" s="106"/>
      <c r="T12" s="107"/>
      <c r="U12" s="91"/>
      <c r="V12" s="91"/>
      <c r="W12" s="108"/>
      <c r="X12" s="91"/>
      <c r="Y12" s="108"/>
      <c r="Z12" s="91"/>
      <c r="AA12" s="108"/>
      <c r="AB12" s="91"/>
      <c r="AC12" s="108"/>
      <c r="AD12" s="91"/>
      <c r="AE12" s="108"/>
      <c r="AF12" s="91"/>
      <c r="AG12" s="108"/>
      <c r="AH12" s="91"/>
      <c r="AI12" s="108"/>
      <c r="AJ12" s="91"/>
      <c r="AK12" s="108"/>
      <c r="AL12" s="91"/>
    </row>
    <row r="13" spans="2:53" x14ac:dyDescent="0.2">
      <c r="C13" s="103"/>
      <c r="D13" s="104"/>
      <c r="E13" s="104"/>
      <c r="F13" s="104"/>
      <c r="G13" s="104"/>
      <c r="H13" s="105"/>
      <c r="I13" s="91"/>
      <c r="J13" s="91"/>
      <c r="K13" s="91"/>
      <c r="L13" s="105"/>
      <c r="M13" s="91"/>
      <c r="N13" s="91"/>
      <c r="O13" s="106"/>
      <c r="P13" s="107"/>
      <c r="Q13" s="106"/>
      <c r="R13" s="107"/>
      <c r="S13" s="106"/>
      <c r="T13" s="107"/>
      <c r="U13" s="91"/>
      <c r="V13" s="91"/>
      <c r="W13" s="106"/>
      <c r="X13" s="91"/>
      <c r="Y13" s="106"/>
      <c r="Z13" s="91"/>
      <c r="AA13" s="106"/>
      <c r="AB13" s="91"/>
      <c r="AC13" s="106"/>
      <c r="AD13" s="91"/>
      <c r="AE13" s="106"/>
      <c r="AF13" s="91"/>
      <c r="AG13" s="106"/>
      <c r="AH13" s="91"/>
      <c r="AI13" s="106"/>
      <c r="AJ13" s="91"/>
      <c r="AK13" s="106"/>
      <c r="AL13" s="91"/>
      <c r="AM13" s="109"/>
    </row>
    <row r="14" spans="2:53" x14ac:dyDescent="0.2">
      <c r="C14" s="8" t="s">
        <v>23</v>
      </c>
      <c r="D14" s="110" t="e">
        <f>D38+D33+D30+D27+D23+#REF!+D20+D17</f>
        <v>#REF!</v>
      </c>
      <c r="E14" s="110" t="e">
        <f>E38+E33+E30+E27+E23+#REF!+E20+E17</f>
        <v>#REF!</v>
      </c>
      <c r="F14" s="110" t="e">
        <f>F38+F33+F30+F27+F23+#REF!+F20+F17</f>
        <v>#REF!</v>
      </c>
      <c r="G14" s="110" t="e">
        <f>G38+G23+#REF!+G20+G17</f>
        <v>#REF!</v>
      </c>
      <c r="H14" s="110" t="e">
        <f>H38+H23+#REF!+H20+H17</f>
        <v>#REF!</v>
      </c>
      <c r="I14" s="110" t="e">
        <f>I38+I23+#REF!+I20+I17</f>
        <v>#REF!</v>
      </c>
      <c r="J14" s="110" t="e">
        <f>J38+J23+#REF!+J20+J17</f>
        <v>#REF!</v>
      </c>
      <c r="K14" s="110" t="e">
        <f>K38+K23+#REF!+K20+K17</f>
        <v>#REF!</v>
      </c>
      <c r="L14" s="110" t="e">
        <f>L38+L23+#REF!+L20+L17</f>
        <v>#REF!</v>
      </c>
      <c r="M14" s="110" t="e">
        <f>M38+M23+#REF!+M20+M17</f>
        <v>#REF!</v>
      </c>
      <c r="N14" s="111" t="e">
        <f>N38+N23+#REF!+N20+N17</f>
        <v>#REF!</v>
      </c>
      <c r="O14" s="112" t="e">
        <f>O38+O23+#REF!+O20+O17</f>
        <v>#REF!</v>
      </c>
      <c r="P14" s="113" t="e">
        <f>O14/$O$14*100</f>
        <v>#REF!</v>
      </c>
      <c r="Q14" s="112">
        <f>Q38+Q23+Q20+Q17</f>
        <v>271.94100000000003</v>
      </c>
      <c r="R14" s="113">
        <f>Q14/$Q$14*100</f>
        <v>100</v>
      </c>
      <c r="S14" s="112">
        <f>S38+S23+S20+S17</f>
        <v>288.322</v>
      </c>
      <c r="T14" s="66">
        <f>S14/$S$14*100</f>
        <v>100</v>
      </c>
      <c r="U14" s="114">
        <f>SUM(U17,U20,U23,U38)</f>
        <v>309.10000000000002</v>
      </c>
      <c r="V14" s="115">
        <f>U14/$U$14*100</f>
        <v>100</v>
      </c>
      <c r="W14" s="116">
        <f>SUM(W16:W38)</f>
        <v>321.59999999999997</v>
      </c>
      <c r="X14" s="117">
        <f>W14/$W$14*100</f>
        <v>100</v>
      </c>
      <c r="Y14" s="116">
        <f>SUM(Y16:Y38)</f>
        <v>345.4</v>
      </c>
      <c r="Z14" s="117">
        <f>Y14/$Y$14*100</f>
        <v>100</v>
      </c>
      <c r="AA14" s="116">
        <f>SUM(AA16:AA38)</f>
        <v>382.8</v>
      </c>
      <c r="AB14" s="118">
        <f>AA14/$AA$14*100</f>
        <v>100</v>
      </c>
      <c r="AC14" s="116">
        <f>SUM(AC16:AC38)</f>
        <v>385.40000000000003</v>
      </c>
      <c r="AD14" s="118">
        <f>AC14/$AC$14*100</f>
        <v>100</v>
      </c>
      <c r="AE14" s="116">
        <f>SUM(AE16:AE38)</f>
        <v>385.50000000000006</v>
      </c>
      <c r="AF14" s="118">
        <f>AE14/$AE$14*100</f>
        <v>100</v>
      </c>
      <c r="AG14" s="116">
        <f>SUM(AG16:AG38)</f>
        <v>418.4</v>
      </c>
      <c r="AH14" s="118">
        <f>AG14/$AG$14*100</f>
        <v>100</v>
      </c>
      <c r="AI14" s="116">
        <f>SUM(AI16:AI38)</f>
        <v>463.00000000000006</v>
      </c>
      <c r="AJ14" s="118">
        <f>AI14/$AI$14*100</f>
        <v>100</v>
      </c>
      <c r="AK14" s="116">
        <f>SUM(AK16:AK38)</f>
        <v>502.70000000000005</v>
      </c>
      <c r="AL14" s="118">
        <f>AK14/$AK$14*100</f>
        <v>100</v>
      </c>
      <c r="AM14" s="109"/>
    </row>
    <row r="15" spans="2:53" x14ac:dyDescent="0.2">
      <c r="C15" s="8"/>
      <c r="D15" s="119"/>
      <c r="E15" s="119"/>
      <c r="F15" s="120"/>
      <c r="G15" s="121"/>
      <c r="H15" s="121"/>
      <c r="I15" s="121"/>
      <c r="J15" s="121"/>
      <c r="K15" s="121"/>
      <c r="L15" s="121"/>
      <c r="M15" s="121"/>
      <c r="N15" s="121"/>
      <c r="O15" s="122"/>
      <c r="P15" s="123"/>
      <c r="Q15" s="122"/>
      <c r="R15" s="123"/>
      <c r="S15" s="122"/>
      <c r="T15" s="123"/>
      <c r="U15" s="121"/>
      <c r="V15" s="123"/>
      <c r="W15" s="122"/>
      <c r="X15" s="121"/>
      <c r="Y15" s="122"/>
      <c r="Z15" s="121"/>
      <c r="AA15" s="122"/>
      <c r="AB15" s="124"/>
      <c r="AC15" s="122"/>
      <c r="AD15" s="124"/>
      <c r="AE15" s="122"/>
      <c r="AF15" s="124"/>
      <c r="AG15" s="122"/>
      <c r="AH15" s="124"/>
      <c r="AI15" s="122"/>
      <c r="AJ15" s="124"/>
      <c r="AK15" s="122"/>
      <c r="AL15" s="124"/>
      <c r="AM15" s="109"/>
    </row>
    <row r="16" spans="2:53" x14ac:dyDescent="0.2">
      <c r="O16" s="61"/>
      <c r="P16" s="60"/>
      <c r="Q16" s="61"/>
      <c r="R16" s="60"/>
      <c r="S16" s="61"/>
      <c r="T16" s="60"/>
      <c r="V16" s="60"/>
      <c r="W16" s="61"/>
      <c r="Y16" s="61"/>
      <c r="AA16" s="61"/>
      <c r="AB16" s="11"/>
      <c r="AC16" s="61"/>
      <c r="AD16" s="11"/>
      <c r="AE16" s="61"/>
      <c r="AF16" s="11"/>
      <c r="AG16" s="61"/>
      <c r="AH16" s="11"/>
      <c r="AI16" s="61"/>
      <c r="AJ16" s="11"/>
      <c r="AK16" s="61"/>
      <c r="AL16" s="11"/>
      <c r="AM16" s="125"/>
    </row>
    <row r="17" spans="3:45" x14ac:dyDescent="0.2">
      <c r="C17" s="2" t="s">
        <v>24</v>
      </c>
      <c r="D17" s="126">
        <v>274.7</v>
      </c>
      <c r="E17" s="126">
        <v>278.7</v>
      </c>
      <c r="F17" s="126">
        <v>295.2</v>
      </c>
      <c r="G17" s="126">
        <v>280.3</v>
      </c>
      <c r="H17" s="126">
        <f>281616/1000</f>
        <v>281.61599999999999</v>
      </c>
      <c r="I17" s="126">
        <f>270105/1000</f>
        <v>270.10500000000002</v>
      </c>
      <c r="J17" s="126">
        <f>244862/1000</f>
        <v>244.86199999999999</v>
      </c>
      <c r="K17" s="126">
        <v>232.41300000000001</v>
      </c>
      <c r="L17" s="126">
        <v>205.20599999999999</v>
      </c>
      <c r="M17" s="11">
        <v>118.843</v>
      </c>
      <c r="N17" s="59">
        <v>217.4</v>
      </c>
      <c r="O17" s="127">
        <v>240.46199999999999</v>
      </c>
      <c r="P17" s="113" t="e">
        <f>O17/$O$14*100</f>
        <v>#REF!</v>
      </c>
      <c r="Q17" s="127">
        <v>215.03700000000001</v>
      </c>
      <c r="R17" s="113">
        <f>Q17/$Q$14*100</f>
        <v>79.074872858450902</v>
      </c>
      <c r="S17" s="128">
        <v>228.46100000000001</v>
      </c>
      <c r="T17" s="66">
        <f>S17/$S$14*100</f>
        <v>79.238143464598608</v>
      </c>
      <c r="U17" s="11">
        <v>242.9</v>
      </c>
      <c r="V17" s="66">
        <f>U17/$U$14*100</f>
        <v>78.582982853445486</v>
      </c>
      <c r="W17" s="128">
        <v>253.2</v>
      </c>
      <c r="X17" s="11">
        <f>W17/$W$14*100</f>
        <v>78.731343283582092</v>
      </c>
      <c r="Y17" s="128">
        <v>265.39999999999998</v>
      </c>
      <c r="Z17" s="11">
        <f>Y17/$Y$14*100</f>
        <v>76.838448176027796</v>
      </c>
      <c r="AA17" s="128">
        <v>288</v>
      </c>
      <c r="AB17" s="124">
        <f>AA17/$AA$14*100</f>
        <v>75.235109717868326</v>
      </c>
      <c r="AC17" s="128">
        <v>291.8</v>
      </c>
      <c r="AD17" s="124">
        <f>AC17/$AC$14*100</f>
        <v>75.713544369486243</v>
      </c>
      <c r="AE17" s="128">
        <v>300.60000000000002</v>
      </c>
      <c r="AF17" s="124">
        <f>AE17/$AE$14*100</f>
        <v>77.976653696498047</v>
      </c>
      <c r="AG17" s="128">
        <v>341</v>
      </c>
      <c r="AH17" s="124">
        <f>AG17/$AG$14*100</f>
        <v>81.500956022944564</v>
      </c>
      <c r="AI17" s="128">
        <v>385.3</v>
      </c>
      <c r="AJ17" s="124">
        <f>ROUND(AI17/$AI$14*100,2)</f>
        <v>83.22</v>
      </c>
      <c r="AK17" s="128">
        <v>418.6</v>
      </c>
      <c r="AL17" s="124">
        <f>ROUND(AK17/$AK$14*100,2)</f>
        <v>83.27</v>
      </c>
      <c r="AM17" s="125"/>
    </row>
    <row r="18" spans="3:45" x14ac:dyDescent="0.2"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9"/>
      <c r="P18" s="130"/>
      <c r="Q18" s="129"/>
      <c r="R18" s="130"/>
      <c r="S18" s="129"/>
      <c r="T18" s="130"/>
      <c r="U18" s="120"/>
      <c r="V18" s="131"/>
      <c r="W18" s="129"/>
      <c r="X18" s="124"/>
      <c r="Y18" s="129"/>
      <c r="Z18" s="11"/>
      <c r="AA18" s="129"/>
      <c r="AB18" s="124"/>
      <c r="AC18" s="129"/>
      <c r="AD18" s="124"/>
      <c r="AE18" s="129"/>
      <c r="AF18" s="124"/>
      <c r="AG18" s="129"/>
      <c r="AH18" s="124"/>
      <c r="AI18" s="129"/>
      <c r="AJ18" s="124"/>
      <c r="AK18" s="129"/>
      <c r="AL18" s="124"/>
      <c r="AM18" s="125"/>
    </row>
    <row r="19" spans="3:45" x14ac:dyDescent="0.2">
      <c r="H19" s="11"/>
      <c r="I19" s="126"/>
      <c r="K19" s="126"/>
      <c r="M19" s="11"/>
      <c r="N19" s="59"/>
      <c r="O19" s="61"/>
      <c r="P19" s="60"/>
      <c r="Q19" s="61"/>
      <c r="R19" s="60"/>
      <c r="S19" s="61"/>
      <c r="T19" s="60"/>
      <c r="V19" s="66"/>
      <c r="W19" s="61"/>
      <c r="X19" s="11"/>
      <c r="Y19" s="61"/>
      <c r="Z19" s="11"/>
      <c r="AA19" s="85"/>
      <c r="AB19" s="124"/>
      <c r="AC19" s="85"/>
      <c r="AD19" s="124"/>
      <c r="AE19" s="85"/>
      <c r="AF19" s="124"/>
      <c r="AG19" s="85"/>
      <c r="AH19" s="124"/>
      <c r="AI19" s="85"/>
      <c r="AJ19" s="124"/>
      <c r="AK19" s="85"/>
      <c r="AL19" s="124"/>
      <c r="AM19" s="125"/>
    </row>
    <row r="20" spans="3:45" x14ac:dyDescent="0.2">
      <c r="C20" s="2" t="s">
        <v>25</v>
      </c>
      <c r="D20" s="126">
        <v>16.2</v>
      </c>
      <c r="E20" s="126">
        <v>18.2</v>
      </c>
      <c r="F20" s="126">
        <v>18.399999999999999</v>
      </c>
      <c r="G20" s="126">
        <v>18.899999999999999</v>
      </c>
      <c r="H20" s="126">
        <f>15003/1000</f>
        <v>15.003</v>
      </c>
      <c r="I20" s="126">
        <f>13550/1000</f>
        <v>13.55</v>
      </c>
      <c r="J20" s="126">
        <f>13569/1000</f>
        <v>13.569000000000001</v>
      </c>
      <c r="K20" s="126">
        <v>14.125</v>
      </c>
      <c r="L20" s="126">
        <v>12.116</v>
      </c>
      <c r="M20" s="11">
        <v>10.48</v>
      </c>
      <c r="N20" s="59">
        <v>14.9</v>
      </c>
      <c r="O20" s="127">
        <v>18.544</v>
      </c>
      <c r="P20" s="113" t="e">
        <f>O20/$O$14*100</f>
        <v>#REF!</v>
      </c>
      <c r="Q20" s="127">
        <v>17.254000000000001</v>
      </c>
      <c r="R20" s="113">
        <f>Q20/$Q$14*100</f>
        <v>6.3447586057269776</v>
      </c>
      <c r="S20" s="128">
        <v>19.498999999999999</v>
      </c>
      <c r="T20" s="66">
        <f>S20/$S$14*100</f>
        <v>6.7629247854828973</v>
      </c>
      <c r="U20" s="11">
        <v>24.7</v>
      </c>
      <c r="V20" s="66">
        <f>U20/$U$14*100</f>
        <v>7.9909414428987375</v>
      </c>
      <c r="W20" s="128">
        <v>24.1</v>
      </c>
      <c r="X20" s="11">
        <f>W20/$W$14*100</f>
        <v>7.4937810945273648</v>
      </c>
      <c r="Y20" s="128">
        <v>23.6</v>
      </c>
      <c r="Z20" s="11">
        <f>Y20/$Y$14*100</f>
        <v>6.8326577880718009</v>
      </c>
      <c r="AA20" s="132">
        <v>24.9</v>
      </c>
      <c r="AB20" s="124">
        <f>AA20/$AA$14*100</f>
        <v>6.5047021943573657</v>
      </c>
      <c r="AC20" s="132">
        <v>24.3</v>
      </c>
      <c r="AD20" s="124">
        <f>AC20/$AC$14*100</f>
        <v>6.3051375194603008</v>
      </c>
      <c r="AE20" s="132">
        <v>23.3</v>
      </c>
      <c r="AF20" s="124">
        <f>AE20/$AE$14*100</f>
        <v>6.0440985732814516</v>
      </c>
      <c r="AG20" s="132">
        <v>24.8</v>
      </c>
      <c r="AH20" s="124">
        <f>AG20/$AG$14*100</f>
        <v>5.9273422562141498</v>
      </c>
      <c r="AI20" s="132">
        <v>26.6</v>
      </c>
      <c r="AJ20" s="124">
        <v>5.8</v>
      </c>
      <c r="AK20" s="132">
        <v>30.1</v>
      </c>
      <c r="AL20" s="124">
        <f>ROUND(AK20/$AK$14*100,2)</f>
        <v>5.99</v>
      </c>
    </row>
    <row r="21" spans="3:45" x14ac:dyDescent="0.2">
      <c r="D21" s="126"/>
      <c r="E21" s="126"/>
      <c r="F21" s="126"/>
      <c r="G21" s="126"/>
      <c r="H21" s="126"/>
      <c r="I21" s="126"/>
      <c r="J21" s="126"/>
      <c r="K21" s="126"/>
      <c r="L21" s="126"/>
      <c r="M21" s="11"/>
      <c r="N21" s="59"/>
      <c r="O21" s="127"/>
      <c r="P21" s="113"/>
      <c r="Q21" s="127"/>
      <c r="R21" s="113"/>
      <c r="S21" s="128"/>
      <c r="T21" s="66"/>
      <c r="U21" s="11"/>
      <c r="V21" s="66"/>
      <c r="W21" s="128"/>
      <c r="X21" s="11"/>
      <c r="Y21" s="128"/>
      <c r="Z21" s="11"/>
      <c r="AA21" s="132"/>
      <c r="AB21" s="124"/>
      <c r="AC21" s="132"/>
      <c r="AD21" s="124"/>
      <c r="AE21" s="132"/>
      <c r="AF21" s="124"/>
      <c r="AG21" s="132"/>
      <c r="AH21" s="124"/>
      <c r="AI21" s="132"/>
      <c r="AJ21" s="124"/>
      <c r="AK21" s="132"/>
      <c r="AL21" s="124"/>
      <c r="AM21" s="29"/>
      <c r="AN21" s="29"/>
      <c r="AO21" s="29"/>
      <c r="AP21" s="29"/>
      <c r="AQ21" s="29"/>
      <c r="AR21" s="29"/>
      <c r="AS21" s="29"/>
    </row>
    <row r="22" spans="3:45" x14ac:dyDescent="0.2">
      <c r="H22" s="11"/>
      <c r="I22" s="126"/>
      <c r="K22" s="126"/>
      <c r="N22" s="59"/>
      <c r="O22" s="61"/>
      <c r="P22" s="60"/>
      <c r="Q22" s="61"/>
      <c r="R22" s="60"/>
      <c r="S22" s="61"/>
      <c r="T22" s="60"/>
      <c r="V22" s="66"/>
      <c r="W22" s="61"/>
      <c r="X22" s="11"/>
      <c r="Y22" s="61"/>
      <c r="Z22" s="11"/>
      <c r="AA22" s="85"/>
      <c r="AB22" s="124"/>
      <c r="AC22" s="85"/>
      <c r="AD22" s="124"/>
      <c r="AE22" s="85"/>
      <c r="AF22" s="124"/>
      <c r="AG22" s="85"/>
      <c r="AH22" s="124"/>
      <c r="AI22" s="85"/>
      <c r="AJ22" s="124"/>
      <c r="AK22" s="85"/>
      <c r="AL22" s="124"/>
      <c r="AM22" s="29"/>
      <c r="AN22" s="29"/>
      <c r="AO22" s="29"/>
      <c r="AP22" s="29"/>
      <c r="AQ22" s="29"/>
      <c r="AR22" s="29"/>
      <c r="AS22" s="29"/>
    </row>
    <row r="23" spans="3:45" x14ac:dyDescent="0.2">
      <c r="C23" s="2" t="s">
        <v>26</v>
      </c>
      <c r="D23" s="126">
        <v>11.3</v>
      </c>
      <c r="E23" s="126">
        <v>11</v>
      </c>
      <c r="F23" s="126">
        <v>10.8</v>
      </c>
      <c r="G23" s="126">
        <v>11.1</v>
      </c>
      <c r="H23" s="126">
        <f>(22590-16174)/1000</f>
        <v>6.4160000000000004</v>
      </c>
      <c r="I23" s="126">
        <f>(20496-15605)/1000</f>
        <v>4.891</v>
      </c>
      <c r="J23" s="126">
        <f>(17882-13691)/1000</f>
        <v>4.1909999999999998</v>
      </c>
      <c r="K23" s="126">
        <v>4.0990000000000002</v>
      </c>
      <c r="L23" s="126">
        <v>3.0950000000000002</v>
      </c>
      <c r="M23" s="11">
        <f>(1392+478+567+288)/1000</f>
        <v>2.7250000000000001</v>
      </c>
      <c r="N23" s="59">
        <v>4.5999999999999996</v>
      </c>
      <c r="O23" s="127">
        <v>5.8330000000000002</v>
      </c>
      <c r="P23" s="113" t="e">
        <f>O23/$O$14*100</f>
        <v>#REF!</v>
      </c>
      <c r="Q23" s="127">
        <v>19.100000000000001</v>
      </c>
      <c r="R23" s="113">
        <f>Q23/$Q$14*100</f>
        <v>7.0235823211652528</v>
      </c>
      <c r="S23" s="128">
        <v>19.899999999999999</v>
      </c>
      <c r="T23" s="66">
        <f>S23/$S$14*100</f>
        <v>6.9020053967439186</v>
      </c>
      <c r="U23" s="11">
        <v>21.1</v>
      </c>
      <c r="V23" s="66">
        <f>U23/$U$14*100</f>
        <v>6.8262698155936592</v>
      </c>
      <c r="W23" s="128">
        <v>21.4</v>
      </c>
      <c r="X23" s="11">
        <f>W23/$W$14*100</f>
        <v>6.6542288557213931</v>
      </c>
      <c r="Y23" s="128">
        <v>28</v>
      </c>
      <c r="Z23" s="11">
        <f>Y23/$Y$14*100</f>
        <v>8.106543138390272</v>
      </c>
      <c r="AA23" s="128">
        <v>36.5</v>
      </c>
      <c r="AB23" s="124">
        <f>AA23/$AA$14*100</f>
        <v>9.5350052246603969</v>
      </c>
      <c r="AC23" s="128">
        <v>34.299999999999997</v>
      </c>
      <c r="AD23" s="124">
        <f>AC23/$AC$14*100</f>
        <v>8.8998443175921107</v>
      </c>
      <c r="AE23" s="128">
        <v>29.2</v>
      </c>
      <c r="AF23" s="124">
        <f>AE23/$AE$14*100</f>
        <v>7.5745784695201017</v>
      </c>
      <c r="AG23" s="128">
        <v>24.2</v>
      </c>
      <c r="AH23" s="124">
        <f>AG23/$AG$14*100</f>
        <v>5.7839388145315489</v>
      </c>
      <c r="AI23" s="128">
        <v>22.8</v>
      </c>
      <c r="AJ23" s="124">
        <f>ROUND(AI23/$AI$14*100,1)</f>
        <v>4.9000000000000004</v>
      </c>
      <c r="AK23" s="128">
        <v>24.1</v>
      </c>
      <c r="AL23" s="124">
        <f>ROUND(AK23/$AK$14*100,2)</f>
        <v>4.79</v>
      </c>
      <c r="AM23" s="29"/>
      <c r="AN23" s="29"/>
      <c r="AO23" s="29"/>
      <c r="AP23" s="29"/>
      <c r="AQ23" s="29"/>
      <c r="AR23" s="29"/>
      <c r="AS23" s="29"/>
    </row>
    <row r="24" spans="3:45" x14ac:dyDescent="0.2">
      <c r="D24" s="126"/>
      <c r="E24" s="126"/>
      <c r="F24" s="126"/>
      <c r="G24" s="126"/>
      <c r="H24" s="126"/>
      <c r="I24" s="126"/>
      <c r="J24" s="126"/>
      <c r="K24" s="126"/>
      <c r="L24" s="126"/>
      <c r="M24" s="11"/>
      <c r="N24" s="59"/>
      <c r="O24" s="127"/>
      <c r="P24" s="113"/>
      <c r="Q24" s="127"/>
      <c r="R24" s="113"/>
      <c r="S24" s="128"/>
      <c r="T24" s="66"/>
      <c r="U24" s="11"/>
      <c r="V24" s="66"/>
      <c r="W24" s="128"/>
      <c r="X24" s="11"/>
      <c r="Y24" s="128"/>
      <c r="Z24" s="11"/>
      <c r="AA24" s="128"/>
      <c r="AB24" s="124"/>
      <c r="AC24" s="128"/>
      <c r="AD24" s="124"/>
      <c r="AE24" s="128"/>
      <c r="AF24" s="124"/>
      <c r="AG24" s="128"/>
      <c r="AH24" s="124"/>
      <c r="AI24" s="128"/>
      <c r="AJ24" s="124"/>
      <c r="AK24" s="128"/>
      <c r="AL24" s="124"/>
      <c r="AM24" s="29"/>
      <c r="AN24" s="29"/>
      <c r="AO24" s="29"/>
      <c r="AP24" s="29"/>
      <c r="AQ24" s="29"/>
      <c r="AR24" s="29"/>
      <c r="AS24" s="29"/>
    </row>
    <row r="25" spans="3:45" x14ac:dyDescent="0.2"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9"/>
      <c r="P25" s="130"/>
      <c r="Q25" s="129"/>
      <c r="R25" s="130"/>
      <c r="S25" s="129"/>
      <c r="T25" s="130"/>
      <c r="U25" s="120"/>
      <c r="V25" s="131"/>
      <c r="W25" s="129"/>
      <c r="X25" s="124"/>
      <c r="Y25" s="129"/>
      <c r="Z25" s="11"/>
      <c r="AA25" s="129"/>
      <c r="AB25" s="124"/>
      <c r="AC25" s="129"/>
      <c r="AD25" s="124"/>
      <c r="AE25" s="129"/>
      <c r="AF25" s="124"/>
      <c r="AG25" s="129"/>
      <c r="AH25" s="124"/>
      <c r="AI25" s="129"/>
      <c r="AJ25" s="124"/>
      <c r="AK25" s="129"/>
      <c r="AL25" s="124"/>
      <c r="AM25" s="29"/>
      <c r="AN25" s="29"/>
      <c r="AO25" s="29"/>
      <c r="AP25" s="29"/>
      <c r="AQ25" s="29"/>
      <c r="AR25" s="29"/>
      <c r="AS25" s="29"/>
    </row>
    <row r="26" spans="3:45" x14ac:dyDescent="0.2">
      <c r="C26" s="9" t="s">
        <v>104</v>
      </c>
      <c r="H26" s="11"/>
      <c r="I26" s="126"/>
      <c r="J26" s="65"/>
      <c r="K26" s="65"/>
      <c r="N26" s="59"/>
      <c r="O26" s="61"/>
      <c r="P26" s="60"/>
      <c r="Q26" s="61"/>
      <c r="R26" s="60"/>
      <c r="S26" s="61"/>
      <c r="T26" s="60"/>
      <c r="V26" s="66"/>
      <c r="W26" s="61">
        <v>4.7</v>
      </c>
      <c r="X26" s="11">
        <f>W26/$W$14*100</f>
        <v>1.4614427860696519</v>
      </c>
      <c r="Y26" s="61">
        <v>5.5</v>
      </c>
      <c r="Z26" s="11">
        <f>Y26/$Y$14*100</f>
        <v>1.5923566878980893</v>
      </c>
      <c r="AA26" s="61">
        <v>5.3</v>
      </c>
      <c r="AB26" s="124">
        <f>AA26/$AA$14*100</f>
        <v>1.3845350052246603</v>
      </c>
      <c r="AC26" s="61">
        <v>5.0999999999999996</v>
      </c>
      <c r="AD26" s="124">
        <f>AC26/$AC$14*100</f>
        <v>1.3233004670472235</v>
      </c>
      <c r="AE26" s="61">
        <v>6.1</v>
      </c>
      <c r="AF26" s="124">
        <f>AE26/$AE$14*100</f>
        <v>1.5823605706874184</v>
      </c>
      <c r="AG26" s="61">
        <v>7.4</v>
      </c>
      <c r="AH26" s="124">
        <f>AG26/$AG$14*100</f>
        <v>1.7686424474187383</v>
      </c>
      <c r="AI26" s="61">
        <v>7.8</v>
      </c>
      <c r="AJ26" s="124">
        <f>ROUND(AI26/$AI$14*100,1)</f>
        <v>1.7</v>
      </c>
      <c r="AK26" s="61">
        <v>7.2</v>
      </c>
      <c r="AL26" s="124">
        <f>ROUND(AK26/$AK$14*100,2)</f>
        <v>1.43</v>
      </c>
      <c r="AM26" s="29"/>
      <c r="AN26" s="29"/>
      <c r="AO26" s="29"/>
      <c r="AP26" s="29"/>
      <c r="AQ26" s="29"/>
      <c r="AR26" s="29"/>
      <c r="AS26" s="29"/>
    </row>
    <row r="27" spans="3:45" ht="12.75" hidden="1" customHeight="1" x14ac:dyDescent="0.2">
      <c r="C27" s="2" t="s">
        <v>27</v>
      </c>
      <c r="D27" s="126">
        <v>1.5</v>
      </c>
      <c r="E27" s="126">
        <v>1.2</v>
      </c>
      <c r="F27" s="126">
        <v>2.9</v>
      </c>
      <c r="G27" s="126">
        <v>2.9</v>
      </c>
      <c r="H27" s="126">
        <v>0.60399999999999998</v>
      </c>
      <c r="I27" s="126">
        <v>0.47</v>
      </c>
      <c r="J27" s="126">
        <v>0.27900000000000003</v>
      </c>
      <c r="K27" s="126">
        <v>0.23100000000000001</v>
      </c>
      <c r="L27" s="65">
        <v>0</v>
      </c>
      <c r="M27" s="65">
        <v>0</v>
      </c>
      <c r="N27" s="65">
        <v>0</v>
      </c>
      <c r="O27" s="61"/>
      <c r="P27" s="60"/>
      <c r="Q27" s="61"/>
      <c r="R27" s="60"/>
      <c r="S27" s="61"/>
      <c r="T27" s="60"/>
      <c r="V27" s="66"/>
      <c r="W27" s="61"/>
      <c r="X27" s="11"/>
      <c r="Y27" s="61"/>
      <c r="Z27" s="11">
        <f t="shared" ref="Z27:Z35" si="0">Y27/$Y$14*100</f>
        <v>0</v>
      </c>
      <c r="AA27" s="61"/>
      <c r="AB27" s="124">
        <f>AA27/AA23</f>
        <v>0</v>
      </c>
      <c r="AC27" s="61"/>
      <c r="AD27" s="124">
        <f>AC27/AC23</f>
        <v>0</v>
      </c>
      <c r="AE27" s="61"/>
      <c r="AF27" s="124">
        <f>AE27/AE23</f>
        <v>0</v>
      </c>
      <c r="AG27" s="61"/>
      <c r="AH27" s="124">
        <f>AG27/AG23</f>
        <v>0</v>
      </c>
      <c r="AI27" s="61"/>
      <c r="AJ27" s="124">
        <f>AI27/AI23</f>
        <v>0</v>
      </c>
      <c r="AK27" s="61"/>
      <c r="AL27" s="124">
        <f>AK27/AK23</f>
        <v>0</v>
      </c>
      <c r="AM27" s="29"/>
      <c r="AN27" s="29"/>
      <c r="AO27" s="29"/>
      <c r="AP27" s="29"/>
      <c r="AQ27" s="29"/>
      <c r="AR27" s="29"/>
      <c r="AS27" s="29"/>
    </row>
    <row r="28" spans="3:45" ht="12.75" hidden="1" customHeight="1" x14ac:dyDescent="0.2">
      <c r="D28" s="120" t="e">
        <f t="shared" ref="D28:K28" si="1">(D27/D$14)</f>
        <v>#REF!</v>
      </c>
      <c r="E28" s="120" t="e">
        <f t="shared" si="1"/>
        <v>#REF!</v>
      </c>
      <c r="F28" s="120" t="e">
        <f t="shared" si="1"/>
        <v>#REF!</v>
      </c>
      <c r="G28" s="120" t="e">
        <f t="shared" si="1"/>
        <v>#REF!</v>
      </c>
      <c r="H28" s="120" t="e">
        <f t="shared" si="1"/>
        <v>#REF!</v>
      </c>
      <c r="I28" s="120" t="e">
        <f t="shared" si="1"/>
        <v>#REF!</v>
      </c>
      <c r="J28" s="120" t="e">
        <f t="shared" si="1"/>
        <v>#REF!</v>
      </c>
      <c r="K28" s="120" t="e">
        <f t="shared" si="1"/>
        <v>#REF!</v>
      </c>
      <c r="L28" s="120"/>
      <c r="M28" s="120"/>
      <c r="N28" s="133"/>
      <c r="O28" s="61"/>
      <c r="P28" s="60"/>
      <c r="Q28" s="61"/>
      <c r="R28" s="60"/>
      <c r="S28" s="61"/>
      <c r="T28" s="60"/>
      <c r="V28" s="66"/>
      <c r="W28" s="61"/>
      <c r="X28" s="11"/>
      <c r="Y28" s="61"/>
      <c r="Z28" s="11">
        <f t="shared" si="0"/>
        <v>0</v>
      </c>
      <c r="AA28" s="61"/>
      <c r="AB28" s="124" t="e">
        <f t="shared" ref="AB28:AB35" si="2">AA28/AA25</f>
        <v>#DIV/0!</v>
      </c>
      <c r="AC28" s="61"/>
      <c r="AD28" s="124" t="e">
        <f t="shared" ref="AD28:AD35" si="3">AC28/AC25</f>
        <v>#DIV/0!</v>
      </c>
      <c r="AE28" s="61"/>
      <c r="AF28" s="124" t="e">
        <f t="shared" ref="AF28:AH35" si="4">AE28/AE25</f>
        <v>#DIV/0!</v>
      </c>
      <c r="AG28" s="61"/>
      <c r="AH28" s="124" t="e">
        <f t="shared" si="4"/>
        <v>#DIV/0!</v>
      </c>
      <c r="AI28" s="61"/>
      <c r="AJ28" s="124" t="e">
        <f t="shared" ref="AJ28:AL35" si="5">AI28/AI25</f>
        <v>#DIV/0!</v>
      </c>
      <c r="AK28" s="61"/>
      <c r="AL28" s="124" t="e">
        <f t="shared" si="5"/>
        <v>#DIV/0!</v>
      </c>
      <c r="AM28" s="29"/>
      <c r="AN28" s="29"/>
      <c r="AO28" s="29"/>
      <c r="AP28" s="29"/>
      <c r="AQ28" s="29"/>
      <c r="AR28" s="29"/>
      <c r="AS28" s="29"/>
    </row>
    <row r="29" spans="3:45" ht="12.75" hidden="1" customHeight="1" x14ac:dyDescent="0.2">
      <c r="H29" s="134"/>
      <c r="I29" s="65"/>
      <c r="K29" s="126"/>
      <c r="N29" s="59"/>
      <c r="O29" s="61"/>
      <c r="P29" s="60"/>
      <c r="Q29" s="61"/>
      <c r="R29" s="60"/>
      <c r="S29" s="61"/>
      <c r="T29" s="60"/>
      <c r="V29" s="66"/>
      <c r="W29" s="61"/>
      <c r="X29" s="11"/>
      <c r="Y29" s="61"/>
      <c r="Z29" s="11">
        <f t="shared" si="0"/>
        <v>0</v>
      </c>
      <c r="AA29" s="61"/>
      <c r="AB29" s="124">
        <f t="shared" si="2"/>
        <v>0</v>
      </c>
      <c r="AC29" s="61"/>
      <c r="AD29" s="124">
        <f t="shared" si="3"/>
        <v>0</v>
      </c>
      <c r="AE29" s="61"/>
      <c r="AF29" s="124">
        <f t="shared" si="4"/>
        <v>0</v>
      </c>
      <c r="AG29" s="61"/>
      <c r="AH29" s="124">
        <f t="shared" si="4"/>
        <v>0</v>
      </c>
      <c r="AI29" s="61"/>
      <c r="AJ29" s="124">
        <f t="shared" si="5"/>
        <v>0</v>
      </c>
      <c r="AK29" s="61"/>
      <c r="AL29" s="124">
        <f t="shared" si="5"/>
        <v>0</v>
      </c>
      <c r="AM29" s="29"/>
      <c r="AN29" s="29"/>
      <c r="AO29" s="29"/>
      <c r="AP29" s="29"/>
      <c r="AQ29" s="29"/>
      <c r="AR29" s="29"/>
      <c r="AS29" s="29"/>
    </row>
    <row r="30" spans="3:45" ht="12.75" hidden="1" customHeight="1" x14ac:dyDescent="0.2">
      <c r="C30" s="2" t="s">
        <v>28</v>
      </c>
      <c r="D30" s="126">
        <v>32.6</v>
      </c>
      <c r="E30" s="126">
        <v>35.5</v>
      </c>
      <c r="F30" s="126">
        <v>39.299999999999997</v>
      </c>
      <c r="G30" s="126">
        <v>42.8</v>
      </c>
      <c r="H30" s="65">
        <v>20.323</v>
      </c>
      <c r="I30" s="65">
        <v>17.879000000000001</v>
      </c>
      <c r="J30" s="126">
        <v>15.544</v>
      </c>
      <c r="K30" s="126">
        <v>18.638999999999999</v>
      </c>
      <c r="L30" s="65">
        <v>0</v>
      </c>
      <c r="M30" s="65">
        <v>0</v>
      </c>
      <c r="N30" s="65">
        <v>0</v>
      </c>
      <c r="O30" s="61"/>
      <c r="P30" s="60"/>
      <c r="Q30" s="61"/>
      <c r="R30" s="60"/>
      <c r="S30" s="61"/>
      <c r="T30" s="60"/>
      <c r="V30" s="66"/>
      <c r="W30" s="61"/>
      <c r="X30" s="11"/>
      <c r="Y30" s="61"/>
      <c r="Z30" s="11">
        <f t="shared" si="0"/>
        <v>0</v>
      </c>
      <c r="AA30" s="61"/>
      <c r="AB30" s="124" t="e">
        <f t="shared" si="2"/>
        <v>#DIV/0!</v>
      </c>
      <c r="AC30" s="61"/>
      <c r="AD30" s="124" t="e">
        <f t="shared" si="3"/>
        <v>#DIV/0!</v>
      </c>
      <c r="AE30" s="61"/>
      <c r="AF30" s="124" t="e">
        <f t="shared" si="4"/>
        <v>#DIV/0!</v>
      </c>
      <c r="AG30" s="61"/>
      <c r="AH30" s="124" t="e">
        <f t="shared" si="4"/>
        <v>#DIV/0!</v>
      </c>
      <c r="AI30" s="61"/>
      <c r="AJ30" s="124" t="e">
        <f t="shared" si="5"/>
        <v>#DIV/0!</v>
      </c>
      <c r="AK30" s="61"/>
      <c r="AL30" s="124" t="e">
        <f t="shared" si="5"/>
        <v>#DIV/0!</v>
      </c>
      <c r="AM30" s="29"/>
      <c r="AN30" s="29"/>
      <c r="AO30" s="29"/>
      <c r="AP30" s="29"/>
      <c r="AQ30" s="29"/>
      <c r="AR30" s="29"/>
      <c r="AS30" s="29"/>
    </row>
    <row r="31" spans="3:45" ht="12.75" hidden="1" customHeight="1" x14ac:dyDescent="0.2">
      <c r="D31" s="120" t="e">
        <f t="shared" ref="D31:K31" si="6">(D30/D$14)</f>
        <v>#REF!</v>
      </c>
      <c r="E31" s="120" t="e">
        <f t="shared" si="6"/>
        <v>#REF!</v>
      </c>
      <c r="F31" s="120" t="e">
        <f t="shared" si="6"/>
        <v>#REF!</v>
      </c>
      <c r="G31" s="120" t="e">
        <f t="shared" si="6"/>
        <v>#REF!</v>
      </c>
      <c r="H31" s="120" t="e">
        <f t="shared" si="6"/>
        <v>#REF!</v>
      </c>
      <c r="I31" s="120" t="e">
        <f t="shared" si="6"/>
        <v>#REF!</v>
      </c>
      <c r="J31" s="120" t="e">
        <f t="shared" si="6"/>
        <v>#REF!</v>
      </c>
      <c r="K31" s="120" t="e">
        <f t="shared" si="6"/>
        <v>#REF!</v>
      </c>
      <c r="L31" s="135"/>
      <c r="M31" s="135"/>
      <c r="N31" s="133"/>
      <c r="O31" s="61"/>
      <c r="P31" s="60"/>
      <c r="Q31" s="61"/>
      <c r="R31" s="60"/>
      <c r="S31" s="61"/>
      <c r="T31" s="60"/>
      <c r="V31" s="66"/>
      <c r="W31" s="61"/>
      <c r="X31" s="11"/>
      <c r="Y31" s="61"/>
      <c r="Z31" s="11">
        <f t="shared" si="0"/>
        <v>0</v>
      </c>
      <c r="AA31" s="61"/>
      <c r="AB31" s="124" t="e">
        <f t="shared" si="2"/>
        <v>#DIV/0!</v>
      </c>
      <c r="AC31" s="61"/>
      <c r="AD31" s="124" t="e">
        <f t="shared" si="3"/>
        <v>#DIV/0!</v>
      </c>
      <c r="AE31" s="61"/>
      <c r="AF31" s="124" t="e">
        <f t="shared" si="4"/>
        <v>#DIV/0!</v>
      </c>
      <c r="AG31" s="61"/>
      <c r="AH31" s="124" t="e">
        <f t="shared" si="4"/>
        <v>#DIV/0!</v>
      </c>
      <c r="AI31" s="61"/>
      <c r="AJ31" s="124" t="e">
        <f t="shared" si="5"/>
        <v>#DIV/0!</v>
      </c>
      <c r="AK31" s="61"/>
      <c r="AL31" s="124" t="e">
        <f t="shared" si="5"/>
        <v>#DIV/0!</v>
      </c>
      <c r="AM31" s="29"/>
      <c r="AN31" s="29"/>
      <c r="AO31" s="29"/>
      <c r="AP31" s="29"/>
      <c r="AQ31" s="29"/>
      <c r="AR31" s="29"/>
      <c r="AS31" s="29"/>
    </row>
    <row r="32" spans="3:45" ht="12.75" hidden="1" customHeight="1" x14ac:dyDescent="0.2">
      <c r="H32" s="134"/>
      <c r="I32" s="65"/>
      <c r="K32" s="126"/>
      <c r="L32" s="59"/>
      <c r="M32" s="59"/>
      <c r="N32" s="59"/>
      <c r="O32" s="61"/>
      <c r="P32" s="60"/>
      <c r="Q32" s="61"/>
      <c r="R32" s="60"/>
      <c r="S32" s="61"/>
      <c r="T32" s="60"/>
      <c r="V32" s="66"/>
      <c r="W32" s="61"/>
      <c r="X32" s="11"/>
      <c r="Y32" s="61"/>
      <c r="Z32" s="11">
        <f t="shared" si="0"/>
        <v>0</v>
      </c>
      <c r="AA32" s="61"/>
      <c r="AB32" s="124" t="e">
        <f t="shared" si="2"/>
        <v>#DIV/0!</v>
      </c>
      <c r="AC32" s="61"/>
      <c r="AD32" s="124" t="e">
        <f t="shared" si="3"/>
        <v>#DIV/0!</v>
      </c>
      <c r="AE32" s="61"/>
      <c r="AF32" s="124" t="e">
        <f t="shared" si="4"/>
        <v>#DIV/0!</v>
      </c>
      <c r="AG32" s="61"/>
      <c r="AH32" s="124" t="e">
        <f t="shared" si="4"/>
        <v>#DIV/0!</v>
      </c>
      <c r="AI32" s="61"/>
      <c r="AJ32" s="124" t="e">
        <f t="shared" si="5"/>
        <v>#DIV/0!</v>
      </c>
      <c r="AK32" s="61"/>
      <c r="AL32" s="124" t="e">
        <f t="shared" si="5"/>
        <v>#DIV/0!</v>
      </c>
      <c r="AM32" s="29"/>
      <c r="AN32" s="29"/>
      <c r="AO32" s="29"/>
      <c r="AP32" s="29"/>
      <c r="AQ32" s="29"/>
      <c r="AR32" s="29"/>
      <c r="AS32" s="29"/>
    </row>
    <row r="33" spans="2:45" ht="12.75" hidden="1" customHeight="1" x14ac:dyDescent="0.2">
      <c r="C33" s="2" t="s">
        <v>29</v>
      </c>
      <c r="D33" s="126">
        <v>4.8</v>
      </c>
      <c r="E33" s="126">
        <v>4.2</v>
      </c>
      <c r="F33" s="126">
        <v>5.03</v>
      </c>
      <c r="G33" s="126">
        <v>5.4</v>
      </c>
      <c r="H33" s="65">
        <v>4.1420000000000003</v>
      </c>
      <c r="I33" s="65">
        <v>3.3029999999999999</v>
      </c>
      <c r="J33" s="126">
        <v>3.4359999999999999</v>
      </c>
      <c r="K33" s="126">
        <v>3.2610000000000001</v>
      </c>
      <c r="L33" s="65">
        <v>0</v>
      </c>
      <c r="M33" s="65">
        <v>0</v>
      </c>
      <c r="N33" s="65">
        <v>0</v>
      </c>
      <c r="O33" s="61"/>
      <c r="P33" s="60"/>
      <c r="Q33" s="61"/>
      <c r="R33" s="60"/>
      <c r="S33" s="61"/>
      <c r="T33" s="60"/>
      <c r="V33" s="66"/>
      <c r="W33" s="61"/>
      <c r="X33" s="11"/>
      <c r="Y33" s="61"/>
      <c r="Z33" s="11">
        <f t="shared" si="0"/>
        <v>0</v>
      </c>
      <c r="AA33" s="61"/>
      <c r="AB33" s="124" t="e">
        <f t="shared" si="2"/>
        <v>#DIV/0!</v>
      </c>
      <c r="AC33" s="61"/>
      <c r="AD33" s="124" t="e">
        <f t="shared" si="3"/>
        <v>#DIV/0!</v>
      </c>
      <c r="AE33" s="61"/>
      <c r="AF33" s="124" t="e">
        <f t="shared" si="4"/>
        <v>#DIV/0!</v>
      </c>
      <c r="AG33" s="61"/>
      <c r="AH33" s="124" t="e">
        <f t="shared" si="4"/>
        <v>#DIV/0!</v>
      </c>
      <c r="AI33" s="61"/>
      <c r="AJ33" s="124" t="e">
        <f t="shared" si="5"/>
        <v>#DIV/0!</v>
      </c>
      <c r="AK33" s="61"/>
      <c r="AL33" s="124" t="e">
        <f t="shared" si="5"/>
        <v>#DIV/0!</v>
      </c>
      <c r="AM33" s="29"/>
      <c r="AN33" s="29"/>
      <c r="AO33" s="29"/>
      <c r="AP33" s="29"/>
      <c r="AQ33" s="29"/>
      <c r="AR33" s="29"/>
      <c r="AS33" s="29"/>
    </row>
    <row r="34" spans="2:45" ht="12.75" hidden="1" customHeight="1" x14ac:dyDescent="0.2">
      <c r="D34" s="120" t="e">
        <f t="shared" ref="D34:K34" si="7">(D33/D$14)</f>
        <v>#REF!</v>
      </c>
      <c r="E34" s="120" t="e">
        <f t="shared" si="7"/>
        <v>#REF!</v>
      </c>
      <c r="F34" s="120" t="e">
        <f t="shared" si="7"/>
        <v>#REF!</v>
      </c>
      <c r="G34" s="120" t="e">
        <f t="shared" si="7"/>
        <v>#REF!</v>
      </c>
      <c r="H34" s="120" t="e">
        <f t="shared" si="7"/>
        <v>#REF!</v>
      </c>
      <c r="I34" s="120" t="e">
        <f t="shared" si="7"/>
        <v>#REF!</v>
      </c>
      <c r="J34" s="120" t="e">
        <f t="shared" si="7"/>
        <v>#REF!</v>
      </c>
      <c r="K34" s="120" t="e">
        <f t="shared" si="7"/>
        <v>#REF!</v>
      </c>
      <c r="L34" s="120"/>
      <c r="M34" s="120"/>
      <c r="N34" s="133"/>
      <c r="O34" s="61"/>
      <c r="P34" s="60"/>
      <c r="Q34" s="61"/>
      <c r="R34" s="60"/>
      <c r="S34" s="61"/>
      <c r="T34" s="60"/>
      <c r="V34" s="66"/>
      <c r="W34" s="61"/>
      <c r="X34" s="11"/>
      <c r="Y34" s="61"/>
      <c r="Z34" s="11">
        <f t="shared" si="0"/>
        <v>0</v>
      </c>
      <c r="AA34" s="61"/>
      <c r="AB34" s="124" t="e">
        <f t="shared" si="2"/>
        <v>#DIV/0!</v>
      </c>
      <c r="AC34" s="61"/>
      <c r="AD34" s="124" t="e">
        <f t="shared" si="3"/>
        <v>#DIV/0!</v>
      </c>
      <c r="AE34" s="61"/>
      <c r="AF34" s="124" t="e">
        <f t="shared" si="4"/>
        <v>#DIV/0!</v>
      </c>
      <c r="AG34" s="61"/>
      <c r="AH34" s="124" t="e">
        <f t="shared" si="4"/>
        <v>#DIV/0!</v>
      </c>
      <c r="AI34" s="61"/>
      <c r="AJ34" s="124" t="e">
        <f t="shared" si="5"/>
        <v>#DIV/0!</v>
      </c>
      <c r="AK34" s="61"/>
      <c r="AL34" s="124" t="e">
        <f t="shared" si="5"/>
        <v>#DIV/0!</v>
      </c>
      <c r="AM34" s="29"/>
      <c r="AN34" s="29"/>
      <c r="AO34" s="29"/>
      <c r="AP34" s="29"/>
      <c r="AQ34" s="29"/>
      <c r="AR34" s="29"/>
      <c r="AS34" s="29"/>
    </row>
    <row r="35" spans="2:45" ht="12.75" hidden="1" customHeight="1" x14ac:dyDescent="0.2">
      <c r="H35" s="11"/>
      <c r="I35" s="126"/>
      <c r="K35" s="126"/>
      <c r="N35" s="59"/>
      <c r="O35" s="61"/>
      <c r="P35" s="60"/>
      <c r="Q35" s="61"/>
      <c r="R35" s="60"/>
      <c r="S35" s="61"/>
      <c r="T35" s="60"/>
      <c r="V35" s="66"/>
      <c r="W35" s="61"/>
      <c r="X35" s="11"/>
      <c r="Y35" s="61"/>
      <c r="Z35" s="11">
        <f t="shared" si="0"/>
        <v>0</v>
      </c>
      <c r="AA35" s="61"/>
      <c r="AB35" s="124" t="e">
        <f t="shared" si="2"/>
        <v>#DIV/0!</v>
      </c>
      <c r="AC35" s="61"/>
      <c r="AD35" s="124" t="e">
        <f t="shared" si="3"/>
        <v>#DIV/0!</v>
      </c>
      <c r="AE35" s="61"/>
      <c r="AF35" s="124" t="e">
        <f t="shared" si="4"/>
        <v>#DIV/0!</v>
      </c>
      <c r="AG35" s="61"/>
      <c r="AH35" s="124" t="e">
        <f t="shared" si="4"/>
        <v>#DIV/0!</v>
      </c>
      <c r="AI35" s="61"/>
      <c r="AJ35" s="124" t="e">
        <f t="shared" si="5"/>
        <v>#DIV/0!</v>
      </c>
      <c r="AK35" s="61"/>
      <c r="AL35" s="124" t="e">
        <f t="shared" si="5"/>
        <v>#DIV/0!</v>
      </c>
      <c r="AM35" s="29"/>
      <c r="AN35" s="29"/>
      <c r="AO35" s="29"/>
      <c r="AP35" s="29"/>
      <c r="AQ35" s="29"/>
      <c r="AR35" s="29"/>
      <c r="AS35" s="29"/>
    </row>
    <row r="36" spans="2:45" ht="12.75" customHeight="1" x14ac:dyDescent="0.2">
      <c r="H36" s="11"/>
      <c r="I36" s="126"/>
      <c r="K36" s="126"/>
      <c r="N36" s="59"/>
      <c r="O36" s="61"/>
      <c r="P36" s="60"/>
      <c r="Q36" s="61"/>
      <c r="R36" s="60"/>
      <c r="S36" s="61"/>
      <c r="T36" s="60"/>
      <c r="V36" s="66"/>
      <c r="W36" s="61"/>
      <c r="X36" s="11"/>
      <c r="Y36" s="61"/>
      <c r="Z36" s="11"/>
      <c r="AA36" s="61"/>
      <c r="AB36" s="124"/>
      <c r="AC36" s="61"/>
      <c r="AD36" s="124"/>
      <c r="AE36" s="61"/>
      <c r="AF36" s="124"/>
      <c r="AG36" s="61"/>
      <c r="AH36" s="124"/>
      <c r="AI36" s="61"/>
      <c r="AJ36" s="124"/>
      <c r="AK36" s="61"/>
      <c r="AL36" s="124"/>
      <c r="AM36" s="29"/>
      <c r="AN36" s="29"/>
      <c r="AO36" s="29"/>
      <c r="AP36" s="29"/>
      <c r="AQ36" s="29"/>
      <c r="AR36" s="29"/>
      <c r="AS36" s="29"/>
    </row>
    <row r="37" spans="2:45" ht="12.75" customHeight="1" x14ac:dyDescent="0.2">
      <c r="H37" s="11"/>
      <c r="I37" s="126"/>
      <c r="K37" s="126"/>
      <c r="N37" s="59"/>
      <c r="O37" s="61"/>
      <c r="P37" s="60"/>
      <c r="Q37" s="61"/>
      <c r="R37" s="60"/>
      <c r="S37" s="61"/>
      <c r="T37" s="60"/>
      <c r="V37" s="66"/>
      <c r="W37" s="61"/>
      <c r="X37" s="11"/>
      <c r="Y37" s="61"/>
      <c r="Z37" s="11"/>
      <c r="AA37" s="61"/>
      <c r="AB37" s="124"/>
      <c r="AC37" s="61"/>
      <c r="AD37" s="124"/>
      <c r="AE37" s="61"/>
      <c r="AF37" s="124"/>
      <c r="AG37" s="61"/>
      <c r="AH37" s="124"/>
      <c r="AI37" s="61"/>
      <c r="AJ37" s="124"/>
      <c r="AK37" s="61"/>
      <c r="AL37" s="124"/>
      <c r="AM37" s="29"/>
      <c r="AN37" s="29"/>
      <c r="AO37" s="29"/>
      <c r="AP37" s="29"/>
      <c r="AQ37" s="29"/>
      <c r="AR37" s="29"/>
      <c r="AS37" s="29"/>
    </row>
    <row r="38" spans="2:45" x14ac:dyDescent="0.2">
      <c r="C38" s="2" t="s">
        <v>30</v>
      </c>
      <c r="D38" s="126">
        <v>9.9</v>
      </c>
      <c r="E38" s="126">
        <v>10.7</v>
      </c>
      <c r="F38" s="126">
        <v>8.6999999999999993</v>
      </c>
      <c r="G38" s="126">
        <f>SUM(9.9+5.4+42.8+2.9)</f>
        <v>60.999999999999993</v>
      </c>
      <c r="H38" s="126">
        <f>(9.809+4.1+20.3+0.6)</f>
        <v>34.809000000000005</v>
      </c>
      <c r="I38" s="126">
        <f>(8.268+3.3+17.9+0.5)</f>
        <v>29.968</v>
      </c>
      <c r="J38" s="126">
        <f>(7.225+3.4+15.5+0.3)</f>
        <v>26.425000000000001</v>
      </c>
      <c r="K38" s="126">
        <f>(6.634+3.3+18.6+0.2)</f>
        <v>28.734000000000002</v>
      </c>
      <c r="L38" s="126">
        <v>27.33</v>
      </c>
      <c r="M38" s="126">
        <v>25.762</v>
      </c>
      <c r="N38" s="59">
        <v>17.600000000000001</v>
      </c>
      <c r="O38" s="127">
        <v>22.602</v>
      </c>
      <c r="P38" s="113" t="e">
        <f>O38/$O$14*100</f>
        <v>#REF!</v>
      </c>
      <c r="Q38" s="127">
        <v>20.55</v>
      </c>
      <c r="R38" s="113">
        <f>Q38/$Q$14*100</f>
        <v>7.5567862146568547</v>
      </c>
      <c r="S38" s="128">
        <v>20.462</v>
      </c>
      <c r="T38" s="66">
        <f>S38/$S$14*100</f>
        <v>7.0969263531745748</v>
      </c>
      <c r="U38" s="11">
        <v>20.399999999999999</v>
      </c>
      <c r="V38" s="66">
        <f>U38/$U$14*100</f>
        <v>6.5998058880621144</v>
      </c>
      <c r="W38" s="128">
        <v>18.2</v>
      </c>
      <c r="X38" s="11">
        <f>W38/$W$14*100</f>
        <v>5.6592039800995035</v>
      </c>
      <c r="Y38" s="128">
        <v>22.9</v>
      </c>
      <c r="Z38" s="11">
        <f>Y38/$Y$14*100</f>
        <v>6.629994209612045</v>
      </c>
      <c r="AA38" s="128">
        <v>28.1</v>
      </c>
      <c r="AB38" s="124">
        <f>AA38/$AA$14*100</f>
        <v>7.3406478578892376</v>
      </c>
      <c r="AC38" s="128">
        <v>29.9</v>
      </c>
      <c r="AD38" s="124">
        <f>AC38/$AC$14*100</f>
        <v>7.7581733264141137</v>
      </c>
      <c r="AE38" s="128">
        <v>26.3</v>
      </c>
      <c r="AF38" s="124">
        <f>AE38/$AE$14*100</f>
        <v>6.8223086900129699</v>
      </c>
      <c r="AG38" s="128">
        <v>21</v>
      </c>
      <c r="AH38" s="124">
        <f>AG38/$AG$14*100</f>
        <v>5.0191204588910141</v>
      </c>
      <c r="AI38" s="128">
        <v>20.5</v>
      </c>
      <c r="AJ38" s="124">
        <f>ROUND(AI38/$AI$14*100,1)</f>
        <v>4.4000000000000004</v>
      </c>
      <c r="AK38" s="128">
        <v>22.7</v>
      </c>
      <c r="AL38" s="124">
        <f>ROUND(AK38/$AK$14*100,2)</f>
        <v>4.5199999999999996</v>
      </c>
      <c r="AM38" s="29"/>
      <c r="AN38" s="29"/>
      <c r="AO38" s="29"/>
      <c r="AP38" s="29"/>
      <c r="AQ38" s="29"/>
      <c r="AR38" s="29"/>
      <c r="AS38" s="29"/>
    </row>
    <row r="39" spans="2:45" x14ac:dyDescent="0.2"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9"/>
      <c r="P39" s="130"/>
      <c r="Q39" s="129"/>
      <c r="R39" s="130"/>
      <c r="S39" s="129"/>
      <c r="T39" s="130"/>
      <c r="U39" s="120"/>
      <c r="V39" s="120"/>
      <c r="W39" s="129"/>
      <c r="X39" s="120"/>
      <c r="Y39" s="129"/>
      <c r="Z39" s="120"/>
      <c r="AA39" s="129"/>
      <c r="AB39" s="120"/>
      <c r="AC39" s="129"/>
      <c r="AD39" s="120"/>
      <c r="AE39" s="129"/>
      <c r="AF39" s="120"/>
      <c r="AG39" s="129"/>
      <c r="AH39" s="120"/>
      <c r="AI39" s="129"/>
      <c r="AJ39" s="120"/>
      <c r="AK39" s="129"/>
      <c r="AL39" s="120"/>
      <c r="AM39" s="29"/>
      <c r="AN39" s="29"/>
      <c r="AO39" s="29"/>
      <c r="AP39" s="29"/>
      <c r="AQ39" s="29"/>
      <c r="AR39" s="29"/>
      <c r="AS39" s="29"/>
    </row>
    <row r="40" spans="2:45" x14ac:dyDescent="0.2">
      <c r="B40" s="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136"/>
      <c r="P40" s="137"/>
      <c r="Q40" s="136"/>
      <c r="R40" s="137"/>
      <c r="S40" s="136"/>
      <c r="T40" s="137"/>
      <c r="U40" s="51"/>
      <c r="V40" s="51"/>
      <c r="W40" s="136"/>
      <c r="X40" s="51"/>
      <c r="Y40" s="136"/>
      <c r="Z40" s="51"/>
      <c r="AA40" s="136"/>
      <c r="AB40" s="51"/>
      <c r="AC40" s="136"/>
      <c r="AD40" s="51"/>
      <c r="AE40" s="136"/>
      <c r="AF40" s="51"/>
      <c r="AG40" s="136"/>
      <c r="AH40" s="51"/>
      <c r="AI40" s="136"/>
      <c r="AJ40" s="51"/>
      <c r="AK40" s="136"/>
      <c r="AL40" s="51"/>
      <c r="AM40" s="29"/>
      <c r="AN40" s="29"/>
      <c r="AO40" s="29"/>
      <c r="AP40" s="29"/>
      <c r="AQ40" s="29"/>
      <c r="AR40" s="29"/>
      <c r="AS40" s="29"/>
    </row>
    <row r="41" spans="2:45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70">
        <v>167.80099999999999</v>
      </c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AK41" s="138"/>
      <c r="AL41" s="21"/>
      <c r="AM41" s="29"/>
      <c r="AN41" s="29"/>
      <c r="AO41" s="29"/>
      <c r="AP41" s="29"/>
      <c r="AQ41" s="29"/>
      <c r="AR41" s="29"/>
      <c r="AS41" s="29"/>
    </row>
    <row r="42" spans="2:45" x14ac:dyDescent="0.2">
      <c r="C42" s="139" t="s">
        <v>105</v>
      </c>
      <c r="D42" s="1"/>
      <c r="E42" s="1"/>
      <c r="F42" s="1"/>
      <c r="G42" s="1"/>
      <c r="H42" s="1"/>
      <c r="I42" s="1"/>
      <c r="J42" s="1"/>
      <c r="AK42" s="140"/>
      <c r="AL42" s="141"/>
      <c r="AM42" s="30"/>
      <c r="AN42" s="30"/>
      <c r="AO42" s="30"/>
      <c r="AP42" s="30"/>
      <c r="AQ42" s="29"/>
      <c r="AR42" s="29"/>
      <c r="AS42" s="29"/>
    </row>
    <row r="43" spans="2:45" ht="14.25" x14ac:dyDescent="0.2">
      <c r="B43" s="31"/>
      <c r="C43" s="20" t="s">
        <v>77</v>
      </c>
      <c r="D43" s="1"/>
      <c r="E43" s="1"/>
      <c r="F43" s="1"/>
      <c r="G43" s="1"/>
      <c r="H43" s="1"/>
      <c r="I43" s="1"/>
      <c r="J43" s="1"/>
      <c r="AK43" s="140"/>
      <c r="AL43" s="141"/>
      <c r="AM43" s="30"/>
      <c r="AN43" s="30"/>
      <c r="AO43" s="30"/>
      <c r="AP43" s="30"/>
      <c r="AQ43" s="29"/>
      <c r="AR43" s="29"/>
      <c r="AS43" s="29"/>
    </row>
    <row r="44" spans="2:45" x14ac:dyDescent="0.2">
      <c r="AK44" s="140"/>
      <c r="AL44" s="141"/>
      <c r="AM44" s="30"/>
      <c r="AN44" s="30"/>
      <c r="AO44" s="30"/>
      <c r="AP44" s="30"/>
      <c r="AQ44" s="30"/>
      <c r="AR44" s="29"/>
      <c r="AS44" s="29"/>
    </row>
    <row r="45" spans="2:45" x14ac:dyDescent="0.2">
      <c r="B45" s="142"/>
      <c r="AK45" s="140"/>
      <c r="AL45" s="141"/>
      <c r="AM45" s="30"/>
      <c r="AN45" s="30"/>
      <c r="AO45" s="30"/>
      <c r="AP45" s="30"/>
      <c r="AQ45" s="29"/>
      <c r="AR45" s="29"/>
      <c r="AS45" s="29"/>
    </row>
    <row r="46" spans="2:45" ht="14.25" x14ac:dyDescent="0.2">
      <c r="E46" s="32"/>
      <c r="AF46" s="29"/>
      <c r="AG46" s="29"/>
      <c r="AH46" s="29"/>
      <c r="AI46" s="29"/>
      <c r="AJ46" s="29"/>
      <c r="AK46" s="21"/>
      <c r="AL46" s="21"/>
      <c r="AM46" s="29"/>
      <c r="AN46" s="29"/>
      <c r="AO46" s="29"/>
      <c r="AP46" s="29"/>
      <c r="AQ46" s="30"/>
      <c r="AR46" s="29"/>
      <c r="AS46" s="29"/>
    </row>
    <row r="47" spans="2:45" ht="14.25" x14ac:dyDescent="0.2">
      <c r="E47" s="32"/>
      <c r="AF47" s="29"/>
      <c r="AG47" s="29"/>
      <c r="AH47" s="29"/>
      <c r="AI47" s="29"/>
      <c r="AJ47" s="29"/>
      <c r="AK47" s="140"/>
      <c r="AL47" s="140"/>
      <c r="AM47" s="143"/>
      <c r="AN47" s="29"/>
      <c r="AO47" s="29"/>
      <c r="AP47" s="29"/>
      <c r="AQ47" s="29"/>
      <c r="AR47" s="29"/>
      <c r="AS47" s="29"/>
    </row>
    <row r="48" spans="2:45" x14ac:dyDescent="0.2">
      <c r="B48" s="59"/>
      <c r="Y48" s="33"/>
      <c r="Z48" s="33"/>
      <c r="AA48" s="33"/>
      <c r="AB48" s="33"/>
      <c r="AC48" s="33"/>
      <c r="AD48" s="33"/>
      <c r="AE48" s="33"/>
    </row>
    <row r="56" spans="3:5" hidden="1" x14ac:dyDescent="0.2"/>
    <row r="58" spans="3:5" hidden="1" x14ac:dyDescent="0.2"/>
    <row r="62" spans="3:5" x14ac:dyDescent="0.2">
      <c r="C62" s="25"/>
      <c r="D62" s="25"/>
      <c r="E62" s="25"/>
    </row>
    <row r="63" spans="3:5" x14ac:dyDescent="0.2">
      <c r="C63" s="25"/>
      <c r="D63" s="25"/>
      <c r="E63" s="25"/>
    </row>
    <row r="66" spans="2:24" x14ac:dyDescent="0.2">
      <c r="B66" s="25"/>
      <c r="C66" s="25"/>
      <c r="D66" s="25"/>
      <c r="E66" s="25"/>
      <c r="F66" s="25"/>
      <c r="G66" s="25"/>
      <c r="H66" s="25"/>
      <c r="I66" s="25"/>
    </row>
    <row r="70" spans="2:24" x14ac:dyDescent="0.2">
      <c r="C70" s="20" t="s">
        <v>17</v>
      </c>
    </row>
    <row r="77" spans="2:24" x14ac:dyDescent="0.2">
      <c r="K77" s="33"/>
      <c r="L77" s="33"/>
      <c r="M77" s="33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34"/>
    </row>
    <row r="78" spans="2:24" x14ac:dyDescent="0.2">
      <c r="K78" s="33"/>
      <c r="L78" s="11"/>
      <c r="M78" s="33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34"/>
    </row>
    <row r="79" spans="2:24" x14ac:dyDescent="0.2">
      <c r="K79" s="33"/>
      <c r="M79" s="33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34"/>
    </row>
    <row r="80" spans="2:24" x14ac:dyDescent="0.2">
      <c r="K80" s="33"/>
      <c r="M80" s="33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34"/>
    </row>
    <row r="81" spans="9:24" x14ac:dyDescent="0.2">
      <c r="K81" s="33"/>
      <c r="L81" s="33"/>
      <c r="M81" s="33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34"/>
    </row>
    <row r="82" spans="9:24" x14ac:dyDescent="0.2">
      <c r="I82" s="33"/>
    </row>
    <row r="83" spans="9:24" x14ac:dyDescent="0.2">
      <c r="I83" s="33"/>
      <c r="J83" s="33"/>
      <c r="K83" s="33"/>
      <c r="M83" s="33"/>
    </row>
  </sheetData>
  <mergeCells count="16">
    <mergeCell ref="AK10:AL10"/>
    <mergeCell ref="C9:AL9"/>
    <mergeCell ref="AI10:AJ10"/>
    <mergeCell ref="K4:X4"/>
    <mergeCell ref="C10:C11"/>
    <mergeCell ref="O10:P10"/>
    <mergeCell ref="Q10:R10"/>
    <mergeCell ref="S10:T10"/>
    <mergeCell ref="U10:V10"/>
    <mergeCell ref="W10:X10"/>
    <mergeCell ref="C7:AH7"/>
    <mergeCell ref="AG10:AH10"/>
    <mergeCell ref="AE10:AF10"/>
    <mergeCell ref="AA10:AB10"/>
    <mergeCell ref="AC10:AD10"/>
    <mergeCell ref="Y10:Z10"/>
  </mergeCells>
  <printOptions horizontalCentered="1"/>
  <pageMargins left="0.75" right="0.75" top="1" bottom="1" header="0.5" footer="0.5"/>
  <pageSetup scale="51" orientation="portrait" r:id="rId1"/>
  <headerFooter alignWithMargins="0"/>
  <ignoredErrors>
    <ignoredError sqref="V14 AC15:AC16 X14:AJ14" formula="1"/>
    <ignoredError sqref="AD15:AD16 AD25 AD21:AD22 AD18:AD19 AD27:AD35" evalError="1" formula="1"/>
    <ignoredError sqref="AL18:AL19 AL21:AL37" evalError="1"/>
  </ignoredErrors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28575</xdr:rowOff>
              </from>
              <to>
                <xdr:col>1</xdr:col>
                <xdr:colOff>314325</xdr:colOff>
                <xdr:row>3</xdr:row>
                <xdr:rowOff>114300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3:BL63"/>
  <sheetViews>
    <sheetView topLeftCell="B1" zoomScaleNormal="100" zoomScaleSheetLayoutView="100" workbookViewId="0">
      <selection activeCell="BI5" sqref="BI5"/>
    </sheetView>
  </sheetViews>
  <sheetFormatPr defaultColWidth="9.140625" defaultRowHeight="12.75" outlineLevelCol="2" x14ac:dyDescent="0.2"/>
  <cols>
    <col min="1" max="1" width="9.140625" style="2"/>
    <col min="2" max="2" width="7.7109375" style="2" customWidth="1"/>
    <col min="3" max="3" width="15.7109375" style="2" customWidth="1"/>
    <col min="4" max="8" width="9.140625" style="2" hidden="1" customWidth="1" outlineLevel="2"/>
    <col min="9" max="18" width="9.140625" style="2" hidden="1" customWidth="1" outlineLevel="1"/>
    <col min="19" max="19" width="0" style="2" hidden="1" customWidth="1" collapsed="1"/>
    <col min="20" max="23" width="0" style="2" hidden="1" customWidth="1"/>
    <col min="24" max="26" width="8.5703125" style="2" hidden="1" customWidth="1"/>
    <col min="27" max="27" width="8.42578125" style="2" hidden="1" customWidth="1"/>
    <col min="28" max="29" width="8.5703125" style="2" hidden="1" customWidth="1"/>
    <col min="30" max="30" width="8.42578125" style="2" hidden="1" customWidth="1"/>
    <col min="31" max="32" width="8.5703125" style="2" hidden="1" customWidth="1"/>
    <col min="33" max="33" width="8.42578125" style="2" hidden="1" customWidth="1"/>
    <col min="34" max="35" width="13.28515625" style="2" hidden="1" customWidth="1"/>
    <col min="36" max="45" width="7.85546875" style="2" hidden="1" customWidth="1"/>
    <col min="46" max="46" width="9.28515625" style="2" customWidth="1"/>
    <col min="47" max="49" width="9.140625" style="2" customWidth="1"/>
    <col min="50" max="16384" width="9.140625" style="2"/>
  </cols>
  <sheetData>
    <row r="3" spans="2:59" x14ac:dyDescent="0.2">
      <c r="AZ3" s="8" t="s">
        <v>111</v>
      </c>
    </row>
    <row r="4" spans="2:59" ht="15" x14ac:dyDescent="0.25"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</row>
    <row r="7" spans="2:59" ht="15.75" x14ac:dyDescent="0.25">
      <c r="B7" s="27">
        <f>'.02'!B7+0.01</f>
        <v>15.03</v>
      </c>
      <c r="C7" s="207" t="s">
        <v>112</v>
      </c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207"/>
      <c r="AZ7" s="207"/>
      <c r="BA7" s="207"/>
      <c r="BB7" s="207"/>
      <c r="BC7" s="207"/>
    </row>
    <row r="9" spans="2:59" x14ac:dyDescent="0.2">
      <c r="C9" s="212" t="s">
        <v>18</v>
      </c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</row>
    <row r="10" spans="2:59" ht="14.25" x14ac:dyDescent="0.2">
      <c r="B10" s="1"/>
      <c r="C10" s="214" t="s">
        <v>31</v>
      </c>
      <c r="D10" s="144">
        <v>1975</v>
      </c>
      <c r="E10" s="144">
        <v>1976</v>
      </c>
      <c r="F10" s="144">
        <v>1977</v>
      </c>
      <c r="G10" s="144">
        <v>1978</v>
      </c>
      <c r="H10" s="144">
        <v>1979</v>
      </c>
      <c r="I10" s="144">
        <v>1980</v>
      </c>
      <c r="J10" s="144">
        <v>1981</v>
      </c>
      <c r="K10" s="144">
        <v>1982</v>
      </c>
      <c r="L10" s="144">
        <v>1983</v>
      </c>
      <c r="M10" s="144">
        <v>1984</v>
      </c>
      <c r="N10" s="144">
        <v>1985</v>
      </c>
      <c r="O10" s="144">
        <v>1986</v>
      </c>
      <c r="P10" s="144">
        <v>1987</v>
      </c>
      <c r="Q10" s="144">
        <v>1988</v>
      </c>
      <c r="R10" s="144">
        <v>1989</v>
      </c>
      <c r="S10" s="144">
        <v>1990</v>
      </c>
      <c r="T10" s="144">
        <v>1991</v>
      </c>
      <c r="U10" s="144">
        <v>1992</v>
      </c>
      <c r="V10" s="144">
        <v>1993</v>
      </c>
      <c r="W10" s="94">
        <v>1994</v>
      </c>
      <c r="X10" s="94">
        <v>1995</v>
      </c>
      <c r="Y10" s="94">
        <v>1996</v>
      </c>
      <c r="Z10" s="94">
        <v>1997</v>
      </c>
      <c r="AA10" s="94">
        <v>1998</v>
      </c>
      <c r="AB10" s="94">
        <v>1999</v>
      </c>
      <c r="AC10" s="95" t="s">
        <v>20</v>
      </c>
      <c r="AD10" s="96">
        <v>2001</v>
      </c>
      <c r="AE10" s="96">
        <v>2002</v>
      </c>
      <c r="AF10" s="95">
        <v>2003</v>
      </c>
      <c r="AG10" s="95">
        <v>2004</v>
      </c>
      <c r="AH10" s="95">
        <v>2005</v>
      </c>
      <c r="AI10" s="95">
        <v>2006</v>
      </c>
      <c r="AJ10" s="208">
        <v>2008</v>
      </c>
      <c r="AK10" s="216"/>
      <c r="AL10" s="208">
        <v>2009</v>
      </c>
      <c r="AM10" s="216"/>
      <c r="AN10" s="208">
        <v>2010</v>
      </c>
      <c r="AO10" s="216"/>
      <c r="AP10" s="209">
        <v>2011</v>
      </c>
      <c r="AQ10" s="209"/>
      <c r="AR10" s="208">
        <v>2012</v>
      </c>
      <c r="AS10" s="209"/>
      <c r="AT10" s="208">
        <v>2013</v>
      </c>
      <c r="AU10" s="209"/>
      <c r="AV10" s="208">
        <v>2014</v>
      </c>
      <c r="AW10" s="209"/>
      <c r="AX10" s="208">
        <v>2015</v>
      </c>
      <c r="AY10" s="209"/>
      <c r="AZ10" s="208">
        <v>2016</v>
      </c>
      <c r="BA10" s="209"/>
      <c r="BB10" s="208">
        <v>2017</v>
      </c>
      <c r="BC10" s="209"/>
      <c r="BD10" s="208">
        <v>2018</v>
      </c>
      <c r="BE10" s="209"/>
      <c r="BF10" s="208">
        <v>2019</v>
      </c>
      <c r="BG10" s="209"/>
    </row>
    <row r="11" spans="2:59" x14ac:dyDescent="0.2">
      <c r="B11" s="1"/>
      <c r="C11" s="21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97"/>
      <c r="X11" s="97"/>
      <c r="Y11" s="97"/>
      <c r="Z11" s="97"/>
      <c r="AA11" s="97"/>
      <c r="AB11" s="97"/>
      <c r="AC11" s="98"/>
      <c r="AD11" s="99"/>
      <c r="AE11" s="99"/>
      <c r="AF11" s="98"/>
      <c r="AG11" s="98"/>
      <c r="AH11" s="98"/>
      <c r="AI11" s="98"/>
      <c r="AJ11" s="100" t="s">
        <v>21</v>
      </c>
      <c r="AK11" s="101" t="s">
        <v>22</v>
      </c>
      <c r="AL11" s="100" t="s">
        <v>21</v>
      </c>
      <c r="AM11" s="101" t="s">
        <v>22</v>
      </c>
      <c r="AN11" s="100" t="s">
        <v>21</v>
      </c>
      <c r="AO11" s="101" t="s">
        <v>22</v>
      </c>
      <c r="AP11" s="100" t="s">
        <v>21</v>
      </c>
      <c r="AQ11" s="101" t="s">
        <v>22</v>
      </c>
      <c r="AR11" s="100" t="s">
        <v>21</v>
      </c>
      <c r="AS11" s="98" t="s">
        <v>22</v>
      </c>
      <c r="AT11" s="100" t="s">
        <v>21</v>
      </c>
      <c r="AU11" s="98" t="s">
        <v>22</v>
      </c>
      <c r="AV11" s="100" t="s">
        <v>21</v>
      </c>
      <c r="AW11" s="98" t="s">
        <v>22</v>
      </c>
      <c r="AX11" s="100" t="s">
        <v>21</v>
      </c>
      <c r="AY11" s="98" t="s">
        <v>22</v>
      </c>
      <c r="AZ11" s="100" t="s">
        <v>21</v>
      </c>
      <c r="BA11" s="98" t="s">
        <v>22</v>
      </c>
      <c r="BB11" s="100" t="s">
        <v>21</v>
      </c>
      <c r="BC11" s="98" t="s">
        <v>22</v>
      </c>
      <c r="BD11" s="100" t="s">
        <v>21</v>
      </c>
      <c r="BE11" s="98" t="s">
        <v>22</v>
      </c>
      <c r="BF11" s="100" t="s">
        <v>21</v>
      </c>
      <c r="BG11" s="98" t="s">
        <v>22</v>
      </c>
    </row>
    <row r="12" spans="2:59" x14ac:dyDescent="0.2">
      <c r="B12" s="1"/>
      <c r="C12" s="103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04"/>
      <c r="X12" s="104"/>
      <c r="Y12" s="104"/>
      <c r="Z12" s="104"/>
      <c r="AA12" s="104"/>
      <c r="AB12" s="104"/>
      <c r="AC12" s="105"/>
      <c r="AD12" s="91"/>
      <c r="AE12" s="91"/>
      <c r="AF12" s="105"/>
      <c r="AG12" s="105"/>
      <c r="AH12" s="105"/>
      <c r="AI12" s="105"/>
      <c r="AJ12" s="147"/>
      <c r="AK12" s="148"/>
      <c r="AL12" s="149"/>
      <c r="AM12" s="150"/>
      <c r="AN12" s="149"/>
      <c r="AO12" s="150"/>
      <c r="AP12" s="148"/>
      <c r="AQ12" s="148"/>
      <c r="AR12" s="147"/>
      <c r="AS12" s="151"/>
      <c r="AT12" s="147"/>
      <c r="AU12" s="151"/>
      <c r="AV12" s="147"/>
      <c r="AW12" s="151"/>
      <c r="AX12" s="147"/>
      <c r="AY12" s="151"/>
      <c r="AZ12" s="147"/>
      <c r="BA12" s="151"/>
      <c r="BB12" s="147"/>
      <c r="BC12" s="151"/>
      <c r="BD12" s="147"/>
      <c r="BE12" s="151"/>
      <c r="BF12" s="147"/>
      <c r="BG12" s="151"/>
    </row>
    <row r="13" spans="2:59" x14ac:dyDescent="0.2">
      <c r="B13" s="1"/>
      <c r="C13" s="103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04"/>
      <c r="X13" s="104"/>
      <c r="Y13" s="104"/>
      <c r="Z13" s="104"/>
      <c r="AA13" s="104"/>
      <c r="AB13" s="104"/>
      <c r="AC13" s="105"/>
      <c r="AD13" s="91"/>
      <c r="AE13" s="91"/>
      <c r="AF13" s="105"/>
      <c r="AG13" s="105"/>
      <c r="AH13" s="105"/>
      <c r="AI13" s="105"/>
      <c r="AJ13" s="106"/>
      <c r="AK13" s="91"/>
      <c r="AL13" s="106"/>
      <c r="AM13" s="107"/>
      <c r="AN13" s="106"/>
      <c r="AO13" s="107"/>
      <c r="AP13" s="91"/>
      <c r="AQ13" s="91"/>
      <c r="AR13" s="106"/>
      <c r="AS13" s="91"/>
      <c r="AT13" s="106"/>
      <c r="AU13" s="91"/>
      <c r="AV13" s="106"/>
      <c r="AW13" s="91"/>
      <c r="AX13" s="106"/>
      <c r="AY13" s="91"/>
      <c r="AZ13" s="106"/>
      <c r="BA13" s="91"/>
      <c r="BB13" s="106"/>
      <c r="BC13" s="91"/>
      <c r="BD13" s="106"/>
      <c r="BE13" s="91"/>
      <c r="BF13" s="106"/>
      <c r="BG13" s="91"/>
    </row>
    <row r="14" spans="2:59" x14ac:dyDescent="0.2">
      <c r="C14" s="8" t="s">
        <v>32</v>
      </c>
      <c r="D14" s="110">
        <f t="shared" ref="D14:Y14" si="0">D50+D47+D44+D41+D38+D35+D32+D29+D26+D23+D20+D17</f>
        <v>54.164999999999999</v>
      </c>
      <c r="E14" s="110">
        <f t="shared" si="0"/>
        <v>64.901999999999987</v>
      </c>
      <c r="F14" s="110">
        <f t="shared" si="0"/>
        <v>67.256</v>
      </c>
      <c r="G14" s="110">
        <f t="shared" si="0"/>
        <v>77.402000000000001</v>
      </c>
      <c r="H14" s="110">
        <f t="shared" si="0"/>
        <v>100.58699999999999</v>
      </c>
      <c r="I14" s="110">
        <f t="shared" si="0"/>
        <v>120.24099999999999</v>
      </c>
      <c r="J14" s="110">
        <f t="shared" si="0"/>
        <v>124.598</v>
      </c>
      <c r="K14" s="110">
        <f t="shared" si="0"/>
        <v>121.214</v>
      </c>
      <c r="L14" s="110">
        <f t="shared" si="0"/>
        <v>130.76299999999998</v>
      </c>
      <c r="M14" s="110">
        <f t="shared" si="0"/>
        <v>148.48499999999999</v>
      </c>
      <c r="N14" s="110">
        <f t="shared" si="0"/>
        <v>145.03800000000004</v>
      </c>
      <c r="O14" s="110">
        <f t="shared" si="0"/>
        <v>166.04500000000002</v>
      </c>
      <c r="P14" s="110">
        <f t="shared" si="0"/>
        <v>208.9</v>
      </c>
      <c r="Q14" s="110">
        <f t="shared" si="0"/>
        <v>218.6</v>
      </c>
      <c r="R14" s="110">
        <f t="shared" si="0"/>
        <v>209.8</v>
      </c>
      <c r="S14" s="110">
        <f t="shared" si="0"/>
        <v>253.3</v>
      </c>
      <c r="T14" s="110">
        <f t="shared" si="0"/>
        <v>237.20000000000002</v>
      </c>
      <c r="U14" s="110">
        <f t="shared" si="0"/>
        <v>241.89999999999998</v>
      </c>
      <c r="V14" s="110">
        <f t="shared" si="0"/>
        <v>287.3</v>
      </c>
      <c r="W14" s="110">
        <f t="shared" si="0"/>
        <v>341.50000000000006</v>
      </c>
      <c r="X14" s="110">
        <f t="shared" si="0"/>
        <v>361.4</v>
      </c>
      <c r="Y14" s="110">
        <f t="shared" si="0"/>
        <v>373.2</v>
      </c>
      <c r="Z14" s="114">
        <v>381.2</v>
      </c>
      <c r="AA14" s="8">
        <v>404.2</v>
      </c>
      <c r="AB14" s="110">
        <f t="shared" ref="AB14:AI14" si="1">AB50+AB47+AB44+AB41+AB38+AB35+AB32+AB29+AB26+AB23+AB20+AB17</f>
        <v>394.72300000000001</v>
      </c>
      <c r="AC14" s="110">
        <f t="shared" si="1"/>
        <v>354.08699999999999</v>
      </c>
      <c r="AD14" s="110">
        <f t="shared" si="1"/>
        <v>334.07099999999997</v>
      </c>
      <c r="AE14" s="110">
        <f t="shared" si="1"/>
        <v>302.79700000000003</v>
      </c>
      <c r="AF14" s="110">
        <f t="shared" si="1"/>
        <v>293.51699999999994</v>
      </c>
      <c r="AG14" s="110">
        <f t="shared" si="1"/>
        <v>259.92899999999997</v>
      </c>
      <c r="AH14" s="110">
        <f t="shared" si="1"/>
        <v>167.80099999999999</v>
      </c>
      <c r="AI14" s="110">
        <f t="shared" si="1"/>
        <v>267.25699999999995</v>
      </c>
      <c r="AJ14" s="152">
        <f>AJ50+AJ47+AJ44+AJ41+AJ38+AJ35+AJ32+AJ29+AJ26+AJ23+AJ20+AJ17</f>
        <v>302.67</v>
      </c>
      <c r="AK14" s="126">
        <f>AJ14/$AJ$14*100</f>
        <v>100</v>
      </c>
      <c r="AL14" s="152">
        <f>AL50+AL47+AL44+AL41+AL38+AL35+AL32+AL29+AL26+AL23+AL20+AL17</f>
        <v>271.95799999999997</v>
      </c>
      <c r="AM14" s="113">
        <f>AL14/$AL$14*100</f>
        <v>100</v>
      </c>
      <c r="AN14" s="152">
        <f>AN50+AN47+AN44+AN41+AN38+AN35+AN32+AN29+AN26+AN23+AN20+AN17</f>
        <v>288.3</v>
      </c>
      <c r="AO14" s="66">
        <f>AN14/$AN$14*100</f>
        <v>100</v>
      </c>
      <c r="AP14" s="153">
        <f>SUM(AP17,AP20,AP23,AP26,AP29,AP32,AP35,AP38,AP41,AP44,AP47,AP50)</f>
        <v>309.09999999999997</v>
      </c>
      <c r="AQ14" s="126">
        <f>AQ50+AQ47+AQ44+AQ41+AQ38+AQ35+AQ32+AQ29+AQ26+AQ23+AQ20+AQ17</f>
        <v>100</v>
      </c>
      <c r="AR14" s="154">
        <f>SUM(AR17,AR20,AR23,AR26,AR29,AR32,AR35,AR38,AR41,AR44,AR47,AR50)</f>
        <v>321.59999999999997</v>
      </c>
      <c r="AS14" s="155">
        <v>100</v>
      </c>
      <c r="AT14" s="154">
        <f>SUM(AT17,AT20,AT23,AT26,AT29,AT32,AT35,AT38,AT41,AT44,AT47,AT50)</f>
        <v>345.40000000000003</v>
      </c>
      <c r="AU14" s="156">
        <v>100</v>
      </c>
      <c r="AV14" s="154">
        <f>SUM(AV17,AV20,AV23,AV26,AV29,AV32,AV35,AV38,AV41,AV44,AV47,AV50)</f>
        <v>382.79999999999995</v>
      </c>
      <c r="AW14" s="157">
        <f>AW50+AW47+AW44+AW41+AW38+AW35+AW32+AW29+AW26+AW23+AW20+AW17</f>
        <v>1</v>
      </c>
      <c r="AX14" s="154">
        <f>SUM(AX17,AX20,AX23,AX26,AX29,AX32,AX35,AX38,AX41,AX44,AX47,AX50)</f>
        <v>385.39999999999992</v>
      </c>
      <c r="AY14" s="157">
        <f>AY50+AY47+AY44+AY41+AY38+AY35+AY32+AY29+AY26+AY23+AY20+AY17</f>
        <v>1.0000000000000002</v>
      </c>
      <c r="AZ14" s="154">
        <f>SUM(AZ17,AZ20,AZ23,AZ26,AZ29,AZ32,AZ35,AZ38,AZ41,AZ44,AZ47,AZ50)</f>
        <v>385.5</v>
      </c>
      <c r="BA14" s="157">
        <f>BA50+BA47+BA44+BA41+BA38+BA35+BA32+BA29+BA26+BA23+BA20+BA17</f>
        <v>1</v>
      </c>
      <c r="BB14" s="154">
        <f>SUM(BB17,BB20,BB23,BB26,BB29,BB32,BB35,BB38,BB41,BB44,BB47,BB50)</f>
        <v>418.40000000000003</v>
      </c>
      <c r="BC14" s="158">
        <f>BB14/$BB$14</f>
        <v>1</v>
      </c>
      <c r="BD14" s="154">
        <f>SUM(BD17,BD20,BD23,BD26,BD29,BD32,BD35,BD38,BD41,BD44,BD47,BD50)</f>
        <v>463</v>
      </c>
      <c r="BE14" s="158">
        <f>ROUND(BD14/$BD$14,3)</f>
        <v>1</v>
      </c>
      <c r="BF14" s="154">
        <f>SUM(BF17,BF20,BF23,BF26,BF29,BF32,BF35,BF38,BF41,BF44,BF47,BF50)</f>
        <v>502.7</v>
      </c>
      <c r="BG14" s="158">
        <f>ROUND(BF14/$BF$14,3)</f>
        <v>1</v>
      </c>
    </row>
    <row r="15" spans="2:59" x14ac:dyDescent="0.2"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19"/>
      <c r="X15" s="119"/>
      <c r="Y15" s="119"/>
      <c r="Z15" s="119"/>
      <c r="AA15" s="120"/>
      <c r="AB15" s="121"/>
      <c r="AC15" s="121"/>
      <c r="AD15" s="121"/>
      <c r="AE15" s="121"/>
      <c r="AF15" s="121"/>
      <c r="AG15" s="121"/>
      <c r="AH15" s="121"/>
      <c r="AI15" s="121"/>
      <c r="AJ15" s="122"/>
      <c r="AK15" s="121"/>
      <c r="AL15" s="122"/>
      <c r="AM15" s="123"/>
      <c r="AN15" s="122"/>
      <c r="AO15" s="123"/>
      <c r="AP15" s="121"/>
      <c r="AQ15" s="121"/>
      <c r="AR15" s="122"/>
      <c r="AS15" s="160"/>
      <c r="AT15" s="122"/>
      <c r="AU15" s="160"/>
      <c r="AV15" s="122"/>
      <c r="AW15" s="160"/>
      <c r="AX15" s="122"/>
      <c r="AY15" s="160"/>
      <c r="AZ15" s="122"/>
      <c r="BA15" s="160"/>
      <c r="BB15" s="122"/>
      <c r="BC15" s="160"/>
      <c r="BD15" s="122"/>
      <c r="BE15" s="160"/>
      <c r="BF15" s="122"/>
      <c r="BG15" s="160"/>
    </row>
    <row r="16" spans="2:59" x14ac:dyDescent="0.2">
      <c r="AJ16" s="61"/>
      <c r="AL16" s="61"/>
      <c r="AM16" s="60"/>
      <c r="AN16" s="61"/>
      <c r="AO16" s="60"/>
      <c r="AR16" s="61"/>
      <c r="AS16" s="1"/>
      <c r="AT16" s="61"/>
      <c r="AU16" s="1"/>
      <c r="AV16" s="61"/>
      <c r="AW16" s="1"/>
      <c r="AX16" s="61"/>
      <c r="AY16" s="1"/>
      <c r="AZ16" s="61"/>
      <c r="BA16" s="1"/>
      <c r="BB16" s="61"/>
      <c r="BC16" s="1"/>
      <c r="BD16" s="61"/>
      <c r="BE16" s="1"/>
      <c r="BF16" s="61"/>
      <c r="BG16" s="1"/>
    </row>
    <row r="17" spans="3:64" x14ac:dyDescent="0.2">
      <c r="C17" s="2" t="s">
        <v>33</v>
      </c>
      <c r="D17" s="126">
        <v>5.0030000000000001</v>
      </c>
      <c r="E17" s="126">
        <v>5.9329999999999998</v>
      </c>
      <c r="F17" s="126">
        <v>6.1150000000000002</v>
      </c>
      <c r="G17" s="126">
        <v>6.4669999999999996</v>
      </c>
      <c r="H17" s="126">
        <v>7.7830000000000004</v>
      </c>
      <c r="I17" s="126">
        <v>9.7669999999999995</v>
      </c>
      <c r="J17" s="126">
        <v>11.667</v>
      </c>
      <c r="K17" s="126">
        <v>11.098000000000001</v>
      </c>
      <c r="L17" s="126">
        <v>10.855</v>
      </c>
      <c r="M17" s="126">
        <v>10.362</v>
      </c>
      <c r="N17" s="126">
        <v>10.788</v>
      </c>
      <c r="O17" s="126">
        <v>13.532</v>
      </c>
      <c r="P17" s="126">
        <v>16.899999999999999</v>
      </c>
      <c r="Q17" s="126">
        <v>20.3</v>
      </c>
      <c r="R17" s="126">
        <v>16.8</v>
      </c>
      <c r="S17" s="126">
        <v>19.899999999999999</v>
      </c>
      <c r="T17" s="126">
        <v>17.7</v>
      </c>
      <c r="U17" s="126">
        <v>18.2</v>
      </c>
      <c r="V17" s="126">
        <v>22.2</v>
      </c>
      <c r="W17" s="126">
        <v>26.5</v>
      </c>
      <c r="X17" s="126">
        <v>28.6</v>
      </c>
      <c r="Y17" s="126">
        <v>32.6</v>
      </c>
      <c r="Z17" s="126">
        <v>34</v>
      </c>
      <c r="AA17" s="126">
        <v>34.700000000000003</v>
      </c>
      <c r="AB17" s="126">
        <f>35146/1000</f>
        <v>35.146000000000001</v>
      </c>
      <c r="AC17" s="126">
        <f>26879/1000</f>
        <v>26.879000000000001</v>
      </c>
      <c r="AD17" s="126">
        <f>28953/1000</f>
        <v>28.952999999999999</v>
      </c>
      <c r="AE17" s="126">
        <f>24545/1000</f>
        <v>24.545000000000002</v>
      </c>
      <c r="AF17" s="126">
        <v>24.727</v>
      </c>
      <c r="AG17" s="126">
        <v>25.689</v>
      </c>
      <c r="AH17" s="11">
        <v>9.6010000000000009</v>
      </c>
      <c r="AI17" s="11">
        <v>20.163</v>
      </c>
      <c r="AJ17" s="127">
        <v>25.8</v>
      </c>
      <c r="AK17" s="126">
        <f>AJ17/$AJ$14*100</f>
        <v>8.5241351967489347</v>
      </c>
      <c r="AL17" s="127">
        <v>23.404</v>
      </c>
      <c r="AM17" s="113">
        <f>AL17/$AL$14*100</f>
        <v>8.6057405922973409</v>
      </c>
      <c r="AN17" s="128">
        <v>25</v>
      </c>
      <c r="AO17" s="66">
        <f>AN17/$AN$14*100</f>
        <v>8.6715227193895235</v>
      </c>
      <c r="AP17" s="161">
        <v>26.4</v>
      </c>
      <c r="AQ17" s="11">
        <f>AP17/$AP$14*100</f>
        <v>8.5409252669039155</v>
      </c>
      <c r="AR17" s="162">
        <v>26.3</v>
      </c>
      <c r="AS17" s="70">
        <f>AR17/$AR$14*100</f>
        <v>8.1778606965174134</v>
      </c>
      <c r="AT17" s="128">
        <v>28.7</v>
      </c>
      <c r="AU17" s="70">
        <f>AT17/$AR$14*100</f>
        <v>8.9241293532338304</v>
      </c>
      <c r="AV17" s="128">
        <v>31.4</v>
      </c>
      <c r="AW17" s="163">
        <f>AV17/AV14</f>
        <v>8.2027168234064793E-2</v>
      </c>
      <c r="AX17" s="128">
        <v>34.4</v>
      </c>
      <c r="AY17" s="163">
        <f>AX17/AX14</f>
        <v>8.9257913855734311E-2</v>
      </c>
      <c r="AZ17" s="128">
        <v>32.799999999999997</v>
      </c>
      <c r="BA17" s="163">
        <f>AZ17/AZ14</f>
        <v>8.5084306095979237E-2</v>
      </c>
      <c r="BB17" s="128">
        <v>31.6</v>
      </c>
      <c r="BC17" s="163">
        <f>BB17/$BB$14</f>
        <v>7.5525812619502863E-2</v>
      </c>
      <c r="BD17" s="128">
        <v>39.200000000000003</v>
      </c>
      <c r="BE17" s="163">
        <f>ROUND(BD17/$BD$14,3)</f>
        <v>8.5000000000000006E-2</v>
      </c>
      <c r="BF17" s="128">
        <v>41.4</v>
      </c>
      <c r="BG17" s="163">
        <f>ROUND(BF17/$BF$14,3)</f>
        <v>8.2000000000000003E-2</v>
      </c>
      <c r="BH17" s="11"/>
      <c r="BJ17" s="11"/>
      <c r="BL17" s="11"/>
    </row>
    <row r="18" spans="3:64" x14ac:dyDescent="0.2"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9"/>
      <c r="AK18" s="120"/>
      <c r="AL18" s="129"/>
      <c r="AM18" s="130"/>
      <c r="AN18" s="129"/>
      <c r="AO18" s="130"/>
      <c r="AP18" s="120"/>
      <c r="AQ18" s="124"/>
      <c r="AR18" s="129"/>
      <c r="AS18" s="70"/>
      <c r="AT18" s="129"/>
      <c r="AU18" s="70"/>
      <c r="AV18" s="129"/>
      <c r="AW18" s="163"/>
      <c r="AX18" s="129"/>
      <c r="AY18" s="163"/>
      <c r="AZ18" s="129"/>
      <c r="BA18" s="163"/>
      <c r="BB18" s="129"/>
      <c r="BC18" s="163"/>
      <c r="BD18" s="129"/>
      <c r="BE18" s="163"/>
      <c r="BF18" s="129"/>
      <c r="BG18" s="163"/>
      <c r="BH18" s="11"/>
    </row>
    <row r="19" spans="3:64" x14ac:dyDescent="0.2">
      <c r="Z19" s="11"/>
      <c r="AD19" s="11"/>
      <c r="AF19" s="126"/>
      <c r="AH19" s="11"/>
      <c r="AI19" s="11"/>
      <c r="AJ19" s="61"/>
      <c r="AL19" s="61"/>
      <c r="AM19" s="60"/>
      <c r="AN19" s="61"/>
      <c r="AO19" s="60"/>
      <c r="AQ19" s="11"/>
      <c r="AR19" s="61"/>
      <c r="AS19" s="70"/>
      <c r="AT19" s="61"/>
      <c r="AU19" s="70"/>
      <c r="AV19" s="61"/>
      <c r="AW19" s="163"/>
      <c r="AX19" s="61"/>
      <c r="AY19" s="163"/>
      <c r="AZ19" s="61"/>
      <c r="BA19" s="163"/>
      <c r="BB19" s="61"/>
      <c r="BC19" s="163"/>
      <c r="BD19" s="61"/>
      <c r="BE19" s="163"/>
      <c r="BF19" s="61"/>
      <c r="BG19" s="163"/>
      <c r="BH19" s="11"/>
    </row>
    <row r="20" spans="3:64" x14ac:dyDescent="0.2">
      <c r="C20" s="2" t="s">
        <v>34</v>
      </c>
      <c r="D20" s="126">
        <v>5.0949999999999998</v>
      </c>
      <c r="E20" s="126">
        <v>6.2569999999999997</v>
      </c>
      <c r="F20" s="126">
        <v>7.05</v>
      </c>
      <c r="G20" s="126">
        <v>7.2469999999999999</v>
      </c>
      <c r="H20" s="126">
        <v>9.1869999999999994</v>
      </c>
      <c r="I20" s="126">
        <v>11.52</v>
      </c>
      <c r="J20" s="126">
        <v>12.026</v>
      </c>
      <c r="K20" s="126">
        <v>12.798</v>
      </c>
      <c r="L20" s="126">
        <v>13.555999999999999</v>
      </c>
      <c r="M20" s="126">
        <v>14.021000000000001</v>
      </c>
      <c r="N20" s="126">
        <v>14.342000000000001</v>
      </c>
      <c r="O20" s="126">
        <v>15.411</v>
      </c>
      <c r="P20" s="126">
        <v>19.5</v>
      </c>
      <c r="Q20" s="126">
        <v>22.7</v>
      </c>
      <c r="R20" s="126">
        <v>19.899999999999999</v>
      </c>
      <c r="S20" s="126">
        <v>22.9</v>
      </c>
      <c r="T20" s="126">
        <v>20.9</v>
      </c>
      <c r="U20" s="126">
        <v>23</v>
      </c>
      <c r="V20" s="126">
        <v>25.7</v>
      </c>
      <c r="W20" s="126">
        <v>28.6</v>
      </c>
      <c r="X20" s="126">
        <v>31.3</v>
      </c>
      <c r="Y20" s="126">
        <v>34.9</v>
      </c>
      <c r="Z20" s="126">
        <v>35</v>
      </c>
      <c r="AA20" s="126">
        <v>37.299999999999997</v>
      </c>
      <c r="AB20" s="126">
        <f>35072/1000</f>
        <v>35.072000000000003</v>
      </c>
      <c r="AC20" s="126">
        <f>33678/1000</f>
        <v>33.677999999999997</v>
      </c>
      <c r="AD20" s="126">
        <f>34008/1000</f>
        <v>34.008000000000003</v>
      </c>
      <c r="AE20" s="126">
        <f>28608/1000</f>
        <v>28.608000000000001</v>
      </c>
      <c r="AF20" s="126">
        <v>28.27</v>
      </c>
      <c r="AG20" s="126">
        <v>32.021999999999998</v>
      </c>
      <c r="AH20" s="11">
        <v>13.202</v>
      </c>
      <c r="AI20" s="11">
        <v>25.004000000000001</v>
      </c>
      <c r="AJ20" s="127">
        <v>30.38</v>
      </c>
      <c r="AK20" s="126">
        <f>AJ20/$AJ$14*100</f>
        <v>10.037334390590411</v>
      </c>
      <c r="AL20" s="127">
        <v>26.481999999999999</v>
      </c>
      <c r="AM20" s="113">
        <f>AL20/$AL$14*100</f>
        <v>9.7375330014193384</v>
      </c>
      <c r="AN20" s="128">
        <v>27.2</v>
      </c>
      <c r="AO20" s="66">
        <f>AN20/$AN$14*100</f>
        <v>9.4346167186958034</v>
      </c>
      <c r="AP20" s="11">
        <v>29.9</v>
      </c>
      <c r="AQ20" s="11">
        <f>AP20/$AP$14*100</f>
        <v>9.6732449045616313</v>
      </c>
      <c r="AR20" s="128">
        <v>31.1</v>
      </c>
      <c r="AS20" s="70">
        <f>AR20/$AR$14*100</f>
        <v>9.6703980099502491</v>
      </c>
      <c r="AT20" s="128">
        <v>32</v>
      </c>
      <c r="AU20" s="70">
        <f>AT20/$AR$14*100</f>
        <v>9.9502487562189064</v>
      </c>
      <c r="AV20" s="128">
        <v>33.799999999999997</v>
      </c>
      <c r="AW20" s="163">
        <f>AV20/AV14</f>
        <v>8.8296760710553812E-2</v>
      </c>
      <c r="AX20" s="128">
        <v>35.799999999999997</v>
      </c>
      <c r="AY20" s="163">
        <f>AX20/AX14</f>
        <v>9.2890503373118855E-2</v>
      </c>
      <c r="AZ20" s="128">
        <v>34.799999999999997</v>
      </c>
      <c r="BA20" s="163">
        <f>AZ20/AZ14</f>
        <v>9.027237354085603E-2</v>
      </c>
      <c r="BB20" s="128">
        <v>35.6</v>
      </c>
      <c r="BC20" s="163">
        <f>BB20/$BB$14</f>
        <v>8.5086042065009554E-2</v>
      </c>
      <c r="BD20" s="128">
        <v>40</v>
      </c>
      <c r="BE20" s="163">
        <f>ROUND(BD20/$BD$14,3)</f>
        <v>8.5999999999999993E-2</v>
      </c>
      <c r="BF20" s="128">
        <v>44.8</v>
      </c>
      <c r="BG20" s="163">
        <f>ROUND(BF20/$BF$14,3)</f>
        <v>8.8999999999999996E-2</v>
      </c>
      <c r="BH20" s="11"/>
      <c r="BJ20" s="11"/>
      <c r="BL20" s="11"/>
    </row>
    <row r="21" spans="3:64" x14ac:dyDescent="0.2"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9"/>
      <c r="AK21" s="120"/>
      <c r="AL21" s="129"/>
      <c r="AM21" s="130"/>
      <c r="AN21" s="129"/>
      <c r="AO21" s="130"/>
      <c r="AP21" s="120"/>
      <c r="AQ21" s="124"/>
      <c r="AR21" s="129"/>
      <c r="AS21" s="70"/>
      <c r="AT21" s="129"/>
      <c r="AU21" s="70"/>
      <c r="AV21" s="129"/>
      <c r="AW21" s="163"/>
      <c r="AX21" s="129"/>
      <c r="AY21" s="163"/>
      <c r="AZ21" s="129"/>
      <c r="BA21" s="163"/>
      <c r="BB21" s="129"/>
      <c r="BC21" s="163"/>
      <c r="BD21" s="129"/>
      <c r="BE21" s="163"/>
      <c r="BF21" s="129"/>
      <c r="BG21" s="163"/>
      <c r="BH21" s="11"/>
    </row>
    <row r="22" spans="3:64" x14ac:dyDescent="0.2">
      <c r="Y22" s="126"/>
      <c r="Z22" s="126"/>
      <c r="AA22" s="126"/>
      <c r="AB22" s="126"/>
      <c r="AC22" s="126"/>
      <c r="AD22" s="126"/>
      <c r="AE22" s="126"/>
      <c r="AF22" s="126"/>
      <c r="AG22" s="126"/>
      <c r="AH22" s="11"/>
      <c r="AI22" s="11"/>
      <c r="AJ22" s="61"/>
      <c r="AL22" s="61"/>
      <c r="AM22" s="60"/>
      <c r="AN22" s="61"/>
      <c r="AO22" s="60"/>
      <c r="AQ22" s="11"/>
      <c r="AR22" s="61"/>
      <c r="AS22" s="70"/>
      <c r="AT22" s="61"/>
      <c r="AU22" s="70"/>
      <c r="AV22" s="61"/>
      <c r="AW22" s="163"/>
      <c r="AX22" s="61"/>
      <c r="AY22" s="163"/>
      <c r="AZ22" s="61"/>
      <c r="BA22" s="163"/>
      <c r="BB22" s="61"/>
      <c r="BC22" s="163"/>
      <c r="BD22" s="61"/>
      <c r="BE22" s="163"/>
      <c r="BF22" s="61"/>
      <c r="BG22" s="163"/>
      <c r="BH22" s="11"/>
    </row>
    <row r="23" spans="3:64" x14ac:dyDescent="0.2">
      <c r="C23" s="2" t="s">
        <v>35</v>
      </c>
      <c r="D23" s="126">
        <v>5.8860000000000001</v>
      </c>
      <c r="E23" s="126">
        <v>6.1280000000000001</v>
      </c>
      <c r="F23" s="126">
        <v>7.0389999999999997</v>
      </c>
      <c r="G23" s="126">
        <v>8.3469999999999995</v>
      </c>
      <c r="H23" s="126">
        <v>10.43</v>
      </c>
      <c r="I23" s="126">
        <v>12.856999999999999</v>
      </c>
      <c r="J23" s="126">
        <v>12.816000000000001</v>
      </c>
      <c r="K23" s="126">
        <v>13.185</v>
      </c>
      <c r="L23" s="126">
        <v>15.617000000000001</v>
      </c>
      <c r="M23" s="126">
        <v>16.003</v>
      </c>
      <c r="N23" s="126">
        <v>17.07</v>
      </c>
      <c r="O23" s="126">
        <v>19.867000000000001</v>
      </c>
      <c r="P23" s="126">
        <v>22.5</v>
      </c>
      <c r="Q23" s="126">
        <v>25.2</v>
      </c>
      <c r="R23" s="126">
        <v>23</v>
      </c>
      <c r="S23" s="126">
        <v>26.3</v>
      </c>
      <c r="T23" s="126">
        <v>27.4</v>
      </c>
      <c r="U23" s="126">
        <v>23.3</v>
      </c>
      <c r="V23" s="126">
        <v>29.4</v>
      </c>
      <c r="W23" s="126">
        <v>34.799999999999997</v>
      </c>
      <c r="X23" s="126">
        <v>37.4</v>
      </c>
      <c r="Y23" s="126">
        <v>40.1</v>
      </c>
      <c r="Z23" s="126">
        <v>44.5</v>
      </c>
      <c r="AA23" s="126">
        <v>42.8</v>
      </c>
      <c r="AB23" s="126">
        <f>41805/1000</f>
        <v>41.805</v>
      </c>
      <c r="AC23" s="126">
        <f>39099/1000</f>
        <v>39.098999999999997</v>
      </c>
      <c r="AD23" s="126">
        <f>41558/1000</f>
        <v>41.558</v>
      </c>
      <c r="AE23" s="126">
        <f>39378/1000</f>
        <v>39.378</v>
      </c>
      <c r="AF23" s="126">
        <v>34.420999999999999</v>
      </c>
      <c r="AG23" s="126">
        <v>37.247999999999998</v>
      </c>
      <c r="AH23" s="11">
        <v>18.809999999999999</v>
      </c>
      <c r="AI23" s="11">
        <v>31.492999999999999</v>
      </c>
      <c r="AJ23" s="127">
        <v>38.4</v>
      </c>
      <c r="AK23" s="126">
        <f>AJ23/$AJ$14*100</f>
        <v>12.687084943998414</v>
      </c>
      <c r="AL23" s="127">
        <v>31.193999999999999</v>
      </c>
      <c r="AM23" s="113">
        <f>AL23/$AL$14*100</f>
        <v>11.470153479581407</v>
      </c>
      <c r="AN23" s="128">
        <v>35.6</v>
      </c>
      <c r="AO23" s="66">
        <f>AN23/$AN$14*100</f>
        <v>12.348248352410684</v>
      </c>
      <c r="AP23" s="11">
        <v>37.5</v>
      </c>
      <c r="AQ23" s="11">
        <f>AP23/$AP$14*100</f>
        <v>12.131996117761243</v>
      </c>
      <c r="AR23" s="128">
        <v>38.700000000000003</v>
      </c>
      <c r="AS23" s="70">
        <f>AR23/$AR$14*100</f>
        <v>12.033582089552242</v>
      </c>
      <c r="AT23" s="128">
        <v>43.3</v>
      </c>
      <c r="AU23" s="70">
        <f>AT23/$AR$14*100</f>
        <v>13.463930348258707</v>
      </c>
      <c r="AV23" s="128">
        <v>44.2</v>
      </c>
      <c r="AW23" s="163">
        <f>AV23/AV14</f>
        <v>0.11546499477533963</v>
      </c>
      <c r="AX23" s="128">
        <v>45.5</v>
      </c>
      <c r="AY23" s="163">
        <f>AX23/AX14</f>
        <v>0.11805915931499743</v>
      </c>
      <c r="AZ23" s="128">
        <v>45.2</v>
      </c>
      <c r="BA23" s="163">
        <f>AZ23/AZ14</f>
        <v>0.11725032425421532</v>
      </c>
      <c r="BB23" s="128">
        <v>44.1</v>
      </c>
      <c r="BC23" s="163">
        <f>BB23/$BB$14</f>
        <v>0.10540152963671127</v>
      </c>
      <c r="BD23" s="128">
        <v>55</v>
      </c>
      <c r="BE23" s="163">
        <f>ROUND(BD23/$BD$14,3)</f>
        <v>0.11899999999999999</v>
      </c>
      <c r="BF23" s="128">
        <v>59.6</v>
      </c>
      <c r="BG23" s="163">
        <f>ROUND(BF23/$BF$14,3)</f>
        <v>0.11899999999999999</v>
      </c>
      <c r="BH23" s="11"/>
      <c r="BJ23" s="11"/>
      <c r="BL23" s="11"/>
    </row>
    <row r="24" spans="3:64" x14ac:dyDescent="0.2"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9"/>
      <c r="AK24" s="120"/>
      <c r="AL24" s="129"/>
      <c r="AM24" s="130"/>
      <c r="AN24" s="129"/>
      <c r="AO24" s="130"/>
      <c r="AP24" s="120"/>
      <c r="AQ24" s="124"/>
      <c r="AR24" s="129"/>
      <c r="AS24" s="70"/>
      <c r="AT24" s="129"/>
      <c r="AU24" s="70"/>
      <c r="AV24" s="129"/>
      <c r="AW24" s="163"/>
      <c r="AX24" s="129"/>
      <c r="AY24" s="163"/>
      <c r="AZ24" s="129"/>
      <c r="BA24" s="163"/>
      <c r="BB24" s="129"/>
      <c r="BC24" s="163"/>
      <c r="BD24" s="129"/>
      <c r="BE24" s="163"/>
      <c r="BF24" s="129"/>
      <c r="BG24" s="163"/>
      <c r="BH24" s="11"/>
    </row>
    <row r="25" spans="3:64" x14ac:dyDescent="0.2">
      <c r="AD25" s="11"/>
      <c r="AF25" s="126"/>
      <c r="AH25" s="11"/>
      <c r="AI25" s="11"/>
      <c r="AJ25" s="61"/>
      <c r="AL25" s="61"/>
      <c r="AM25" s="60"/>
      <c r="AN25" s="61"/>
      <c r="AO25" s="60"/>
      <c r="AQ25" s="11"/>
      <c r="AR25" s="61"/>
      <c r="AS25" s="70"/>
      <c r="AT25" s="61"/>
      <c r="AU25" s="70"/>
      <c r="AV25" s="61"/>
      <c r="AW25" s="163"/>
      <c r="AX25" s="61"/>
      <c r="AY25" s="163"/>
      <c r="AZ25" s="61"/>
      <c r="BA25" s="163"/>
      <c r="BB25" s="61"/>
      <c r="BC25" s="163"/>
      <c r="BD25" s="61"/>
      <c r="BE25" s="163"/>
      <c r="BF25" s="61"/>
      <c r="BG25" s="163"/>
      <c r="BH25" s="11"/>
    </row>
    <row r="26" spans="3:64" x14ac:dyDescent="0.2">
      <c r="C26" s="2" t="s">
        <v>36</v>
      </c>
      <c r="D26" s="126">
        <v>3.8140000000000001</v>
      </c>
      <c r="E26" s="126">
        <v>5.6920000000000002</v>
      </c>
      <c r="F26" s="126">
        <v>6.2679999999999998</v>
      </c>
      <c r="G26" s="126">
        <v>6.0259999999999998</v>
      </c>
      <c r="H26" s="126">
        <v>8.5299999999999994</v>
      </c>
      <c r="I26" s="126">
        <v>10.004</v>
      </c>
      <c r="J26" s="126">
        <v>10.225</v>
      </c>
      <c r="K26" s="126">
        <v>10.972</v>
      </c>
      <c r="L26" s="126">
        <v>10.343999999999999</v>
      </c>
      <c r="M26" s="126">
        <v>11.835000000000001</v>
      </c>
      <c r="N26" s="126">
        <v>10.638</v>
      </c>
      <c r="O26" s="126">
        <v>12.491</v>
      </c>
      <c r="P26" s="126">
        <v>18.7</v>
      </c>
      <c r="Q26" s="126">
        <v>19.100000000000001</v>
      </c>
      <c r="R26" s="126">
        <v>17.3</v>
      </c>
      <c r="S26" s="126">
        <v>23.1</v>
      </c>
      <c r="T26" s="126">
        <v>20.9</v>
      </c>
      <c r="U26" s="126">
        <v>21.6</v>
      </c>
      <c r="V26" s="126">
        <v>26.5</v>
      </c>
      <c r="W26" s="126">
        <v>30.3</v>
      </c>
      <c r="X26" s="126">
        <v>34.4</v>
      </c>
      <c r="Y26" s="126">
        <v>34.6</v>
      </c>
      <c r="Z26" s="126">
        <v>33.200000000000003</v>
      </c>
      <c r="AA26" s="126">
        <v>41.1</v>
      </c>
      <c r="AB26" s="126">
        <v>36.799999999999997</v>
      </c>
      <c r="AC26" s="126">
        <f>31908/1000</f>
        <v>31.908000000000001</v>
      </c>
      <c r="AD26" s="126">
        <f>35566/1000</f>
        <v>35.566000000000003</v>
      </c>
      <c r="AE26" s="126">
        <f>26768/1000</f>
        <v>26.768000000000001</v>
      </c>
      <c r="AF26" s="126">
        <v>27.806999999999999</v>
      </c>
      <c r="AG26" s="126">
        <v>33.902999999999999</v>
      </c>
      <c r="AH26" s="11">
        <v>15.423</v>
      </c>
      <c r="AI26" s="11">
        <v>28.402999999999999</v>
      </c>
      <c r="AJ26" s="127">
        <v>29.97</v>
      </c>
      <c r="AK26" s="126">
        <f>AJ26/$AJ$14*100</f>
        <v>9.9018733273862605</v>
      </c>
      <c r="AL26" s="127">
        <v>27.972999999999999</v>
      </c>
      <c r="AM26" s="113">
        <f>AL26/$AL$14*100</f>
        <v>10.285779421822488</v>
      </c>
      <c r="AN26" s="128">
        <v>27.4</v>
      </c>
      <c r="AO26" s="66">
        <f>AN26/$AN$14*100</f>
        <v>9.5039889004509188</v>
      </c>
      <c r="AP26" s="11">
        <v>30.8</v>
      </c>
      <c r="AQ26" s="11">
        <f>AP26/$AP$14*100</f>
        <v>9.964412811387902</v>
      </c>
      <c r="AR26" s="128">
        <v>30</v>
      </c>
      <c r="AS26" s="70">
        <f>AR26/$AR$14*100</f>
        <v>9.3283582089552244</v>
      </c>
      <c r="AT26" s="128">
        <v>29.2</v>
      </c>
      <c r="AU26" s="70">
        <f>AT26/$AR$14*100</f>
        <v>9.0796019900497509</v>
      </c>
      <c r="AV26" s="128">
        <v>35.799999999999997</v>
      </c>
      <c r="AW26" s="163">
        <f>AV26/AV14</f>
        <v>9.3521421107628011E-2</v>
      </c>
      <c r="AX26" s="128">
        <v>36</v>
      </c>
      <c r="AY26" s="163">
        <f>AX26/AX14</f>
        <v>9.340944473274522E-2</v>
      </c>
      <c r="AZ26" s="128">
        <v>34.6</v>
      </c>
      <c r="BA26" s="163">
        <f>AZ26/AZ14</f>
        <v>8.9753566796368353E-2</v>
      </c>
      <c r="BB26" s="128">
        <v>38.9</v>
      </c>
      <c r="BC26" s="163">
        <f>BB26/$BB$14</f>
        <v>9.2973231357552574E-2</v>
      </c>
      <c r="BD26" s="128">
        <v>39.1</v>
      </c>
      <c r="BE26" s="163">
        <f>ROUND(BD26/$BD$14,3)</f>
        <v>8.4000000000000005E-2</v>
      </c>
      <c r="BF26" s="128">
        <v>46.1</v>
      </c>
      <c r="BG26" s="163">
        <f>ROUND(BF26/$BF$14,3)</f>
        <v>9.1999999999999998E-2</v>
      </c>
      <c r="BH26" s="11"/>
      <c r="BJ26" s="11"/>
      <c r="BL26" s="11"/>
    </row>
    <row r="27" spans="3:64" x14ac:dyDescent="0.2"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9"/>
      <c r="AK27" s="120"/>
      <c r="AL27" s="129"/>
      <c r="AM27" s="130"/>
      <c r="AN27" s="129"/>
      <c r="AO27" s="130"/>
      <c r="AP27" s="120"/>
      <c r="AQ27" s="124"/>
      <c r="AR27" s="129"/>
      <c r="AS27" s="70"/>
      <c r="AT27" s="129"/>
      <c r="AU27" s="70"/>
      <c r="AV27" s="129"/>
      <c r="AW27" s="163"/>
      <c r="AX27" s="129"/>
      <c r="AY27" s="163"/>
      <c r="AZ27" s="129"/>
      <c r="BA27" s="163"/>
      <c r="BB27" s="129"/>
      <c r="BC27" s="163"/>
      <c r="BD27" s="129"/>
      <c r="BE27" s="163"/>
      <c r="BF27" s="129"/>
      <c r="BG27" s="163"/>
      <c r="BH27" s="11"/>
    </row>
    <row r="28" spans="3:64" x14ac:dyDescent="0.2">
      <c r="Q28" s="2" t="s">
        <v>11</v>
      </c>
      <c r="AD28" s="11"/>
      <c r="AF28" s="126"/>
      <c r="AH28" s="11"/>
      <c r="AI28" s="11"/>
      <c r="AJ28" s="61"/>
      <c r="AL28" s="61"/>
      <c r="AM28" s="60"/>
      <c r="AN28" s="61"/>
      <c r="AO28" s="60"/>
      <c r="AQ28" s="11"/>
      <c r="AR28" s="61"/>
      <c r="AS28" s="70"/>
      <c r="AT28" s="61"/>
      <c r="AU28" s="70"/>
      <c r="AV28" s="61"/>
      <c r="AW28" s="163"/>
      <c r="AX28" s="61"/>
      <c r="AY28" s="163"/>
      <c r="AZ28" s="61"/>
      <c r="BA28" s="163"/>
      <c r="BB28" s="61"/>
      <c r="BC28" s="163"/>
      <c r="BD28" s="61"/>
      <c r="BE28" s="163"/>
      <c r="BF28" s="61"/>
      <c r="BG28" s="163"/>
      <c r="BH28" s="11"/>
    </row>
    <row r="29" spans="3:64" x14ac:dyDescent="0.2">
      <c r="C29" s="2" t="s">
        <v>37</v>
      </c>
      <c r="D29" s="126">
        <v>3.8029999999999999</v>
      </c>
      <c r="E29" s="126">
        <v>4.9429999999999996</v>
      </c>
      <c r="F29" s="126">
        <v>5.0439999999999996</v>
      </c>
      <c r="G29" s="126">
        <v>5.5410000000000004</v>
      </c>
      <c r="H29" s="126">
        <v>8.1530000000000005</v>
      </c>
      <c r="I29" s="126">
        <v>10.204000000000001</v>
      </c>
      <c r="J29" s="126">
        <v>11.31</v>
      </c>
      <c r="K29" s="126">
        <v>10.032</v>
      </c>
      <c r="L29" s="126">
        <v>10.689</v>
      </c>
      <c r="M29" s="126">
        <v>11.861000000000001</v>
      </c>
      <c r="N29" s="126">
        <v>11.3</v>
      </c>
      <c r="O29" s="126">
        <v>12.9</v>
      </c>
      <c r="P29" s="126">
        <v>16.3</v>
      </c>
      <c r="Q29" s="126">
        <v>17.5</v>
      </c>
      <c r="R29" s="126">
        <v>15</v>
      </c>
      <c r="S29" s="126">
        <v>20.100000000000001</v>
      </c>
      <c r="T29" s="126">
        <v>19.5</v>
      </c>
      <c r="U29" s="126">
        <v>17.899999999999999</v>
      </c>
      <c r="V29" s="126">
        <v>22</v>
      </c>
      <c r="W29" s="126">
        <v>26.9</v>
      </c>
      <c r="X29" s="126">
        <v>28.8</v>
      </c>
      <c r="Y29" s="126">
        <v>29.2</v>
      </c>
      <c r="Z29" s="126">
        <v>29.2</v>
      </c>
      <c r="AA29" s="126">
        <v>33.1</v>
      </c>
      <c r="AB29" s="126">
        <v>31.9</v>
      </c>
      <c r="AC29" s="126">
        <f>28789/1000</f>
        <v>28.789000000000001</v>
      </c>
      <c r="AD29" s="126">
        <f>27023/1000</f>
        <v>27.023</v>
      </c>
      <c r="AE29" s="126">
        <f>23229/1000</f>
        <v>23.228999999999999</v>
      </c>
      <c r="AF29" s="126">
        <v>20.908999999999999</v>
      </c>
      <c r="AG29" s="126">
        <v>25.501999999999999</v>
      </c>
      <c r="AH29" s="11">
        <v>12.061</v>
      </c>
      <c r="AI29" s="11">
        <v>21.172000000000001</v>
      </c>
      <c r="AJ29" s="127">
        <v>25.7</v>
      </c>
      <c r="AK29" s="126">
        <f>AJ29/$AJ$14*100</f>
        <v>8.4910959130406045</v>
      </c>
      <c r="AL29" s="127">
        <v>21.437999999999999</v>
      </c>
      <c r="AM29" s="113">
        <f>AL29/$AL$14*100</f>
        <v>7.8828348494988196</v>
      </c>
      <c r="AN29" s="128">
        <v>21.8</v>
      </c>
      <c r="AO29" s="66">
        <f>AN29/$AN$14*100</f>
        <v>7.5615678113076648</v>
      </c>
      <c r="AP29" s="11">
        <v>23.4</v>
      </c>
      <c r="AQ29" s="11">
        <f>AP29/$AP$14*100</f>
        <v>7.570365577483015</v>
      </c>
      <c r="AR29" s="128">
        <v>25.2</v>
      </c>
      <c r="AS29" s="70">
        <f>AR29/$AR$14*100</f>
        <v>7.8358208955223887</v>
      </c>
      <c r="AT29" s="128">
        <v>27.3</v>
      </c>
      <c r="AU29" s="70">
        <f>AT29/$AR$14*100</f>
        <v>8.4888059701492544</v>
      </c>
      <c r="AV29" s="128">
        <v>31.1</v>
      </c>
      <c r="AW29" s="163">
        <f>AV29/AV14</f>
        <v>8.1243469174503674E-2</v>
      </c>
      <c r="AX29" s="128">
        <v>29.2</v>
      </c>
      <c r="AY29" s="163">
        <f>AX29/AX14</f>
        <v>7.5765438505448895E-2</v>
      </c>
      <c r="AZ29" s="128">
        <v>28.8</v>
      </c>
      <c r="BA29" s="163">
        <f>AZ29/AZ14</f>
        <v>7.4708171206225679E-2</v>
      </c>
      <c r="BB29" s="128">
        <v>29.3</v>
      </c>
      <c r="BC29" s="163">
        <f>BB29/$BB$14</f>
        <v>7.0028680688336523E-2</v>
      </c>
      <c r="BD29" s="128">
        <v>35.9</v>
      </c>
      <c r="BE29" s="163">
        <f>ROUND(BD29/$BD$14,3)</f>
        <v>7.8E-2</v>
      </c>
      <c r="BF29" s="128">
        <v>40.6</v>
      </c>
      <c r="BG29" s="163">
        <f>ROUND(BF29/$BF$14,3)</f>
        <v>8.1000000000000003E-2</v>
      </c>
      <c r="BH29" s="11"/>
      <c r="BI29" s="11"/>
      <c r="BJ29" s="11"/>
      <c r="BK29" s="11"/>
      <c r="BL29" s="11"/>
    </row>
    <row r="30" spans="3:64" x14ac:dyDescent="0.2"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9"/>
      <c r="AK30" s="120"/>
      <c r="AL30" s="129"/>
      <c r="AM30" s="130"/>
      <c r="AN30" s="129"/>
      <c r="AO30" s="130"/>
      <c r="AP30" s="120"/>
      <c r="AQ30" s="124"/>
      <c r="AR30" s="129"/>
      <c r="AS30" s="70"/>
      <c r="AT30" s="129"/>
      <c r="AU30" s="70"/>
      <c r="AV30" s="129"/>
      <c r="AW30" s="163"/>
      <c r="AX30" s="129"/>
      <c r="AY30" s="163"/>
      <c r="AZ30" s="129"/>
      <c r="BA30" s="163"/>
      <c r="BB30" s="129"/>
      <c r="BC30" s="163"/>
      <c r="BD30" s="129"/>
      <c r="BE30" s="163"/>
      <c r="BF30" s="129"/>
      <c r="BG30" s="163"/>
      <c r="BH30" s="11"/>
    </row>
    <row r="31" spans="3:64" x14ac:dyDescent="0.2">
      <c r="AD31" s="11"/>
      <c r="AE31" s="11"/>
      <c r="AF31" s="126"/>
      <c r="AH31" s="11"/>
      <c r="AI31" s="11"/>
      <c r="AJ31" s="61"/>
      <c r="AL31" s="61"/>
      <c r="AM31" s="60"/>
      <c r="AN31" s="61"/>
      <c r="AO31" s="60"/>
      <c r="AQ31" s="11"/>
      <c r="AR31" s="61"/>
      <c r="AS31" s="70"/>
      <c r="AT31" s="61"/>
      <c r="AU31" s="70"/>
      <c r="AV31" s="61"/>
      <c r="AW31" s="163"/>
      <c r="AX31" s="61"/>
      <c r="AY31" s="163"/>
      <c r="AZ31" s="61"/>
      <c r="BA31" s="163"/>
      <c r="BB31" s="61"/>
      <c r="BC31" s="163"/>
      <c r="BD31" s="61"/>
      <c r="BE31" s="163"/>
      <c r="BF31" s="61"/>
      <c r="BG31" s="163"/>
      <c r="BH31" s="11"/>
    </row>
    <row r="32" spans="3:64" x14ac:dyDescent="0.2">
      <c r="C32" s="2" t="s">
        <v>38</v>
      </c>
      <c r="D32" s="126">
        <v>4.125</v>
      </c>
      <c r="E32" s="126">
        <v>4.37</v>
      </c>
      <c r="F32" s="126">
        <v>4.444</v>
      </c>
      <c r="G32" s="126">
        <v>6.1959999999999997</v>
      </c>
      <c r="H32" s="126">
        <v>7.931</v>
      </c>
      <c r="I32" s="126">
        <v>9.7750000000000004</v>
      </c>
      <c r="J32" s="126">
        <v>9.7379999999999995</v>
      </c>
      <c r="K32" s="126">
        <v>8.9640000000000004</v>
      </c>
      <c r="L32" s="126">
        <v>10.79</v>
      </c>
      <c r="M32" s="126">
        <v>13.228</v>
      </c>
      <c r="N32" s="126">
        <v>11.407999999999999</v>
      </c>
      <c r="O32" s="126">
        <v>13.65</v>
      </c>
      <c r="P32" s="126">
        <v>15.8</v>
      </c>
      <c r="Q32" s="126">
        <v>17.100000000000001</v>
      </c>
      <c r="R32" s="126">
        <v>16.600000000000001</v>
      </c>
      <c r="S32" s="126">
        <v>21.7</v>
      </c>
      <c r="T32" s="126">
        <v>20.8</v>
      </c>
      <c r="U32" s="126">
        <v>20.100000000000001</v>
      </c>
      <c r="V32" s="126">
        <v>22.1</v>
      </c>
      <c r="W32" s="126">
        <v>28.8</v>
      </c>
      <c r="X32" s="126">
        <v>30.2</v>
      </c>
      <c r="Y32" s="126">
        <v>31.7</v>
      </c>
      <c r="Z32" s="126">
        <v>30.1</v>
      </c>
      <c r="AA32" s="126">
        <v>33</v>
      </c>
      <c r="AB32" s="126">
        <v>33.5</v>
      </c>
      <c r="AC32" s="126">
        <f>32056/1000</f>
        <v>32.055999999999997</v>
      </c>
      <c r="AD32" s="126">
        <f>29986/1000</f>
        <v>29.986000000000001</v>
      </c>
      <c r="AE32" s="126">
        <f>27017/1000</f>
        <v>27.016999999999999</v>
      </c>
      <c r="AF32" s="126">
        <v>24.661999999999999</v>
      </c>
      <c r="AG32" s="126">
        <v>26.89</v>
      </c>
      <c r="AH32" s="11">
        <v>14.007999999999999</v>
      </c>
      <c r="AI32" s="11">
        <v>24.251000000000001</v>
      </c>
      <c r="AJ32" s="127">
        <v>27.97</v>
      </c>
      <c r="AK32" s="126">
        <f>AJ32/$AJ$14*100</f>
        <v>9.2410876532196777</v>
      </c>
      <c r="AL32" s="127">
        <v>24.149000000000001</v>
      </c>
      <c r="AM32" s="113">
        <f>AL32/$AL$14*100</f>
        <v>8.8796799505806057</v>
      </c>
      <c r="AN32" s="128">
        <v>25</v>
      </c>
      <c r="AO32" s="66">
        <f>AN32/$AN$14*100</f>
        <v>8.6715227193895235</v>
      </c>
      <c r="AP32" s="11">
        <v>27</v>
      </c>
      <c r="AQ32" s="11">
        <f>AP32/$AP$14*100</f>
        <v>8.735037204788096</v>
      </c>
      <c r="AR32" s="128">
        <v>29.7</v>
      </c>
      <c r="AS32" s="70">
        <f>AR32/$AR$14*100</f>
        <v>9.2350746268656714</v>
      </c>
      <c r="AT32" s="128">
        <v>31.9</v>
      </c>
      <c r="AU32" s="70">
        <f>AT32/$AR$14*100</f>
        <v>9.9191542288557208</v>
      </c>
      <c r="AV32" s="128">
        <v>34.1</v>
      </c>
      <c r="AW32" s="163">
        <f>AV32/AV14</f>
        <v>8.9080459770114959E-2</v>
      </c>
      <c r="AX32" s="128">
        <v>32.6</v>
      </c>
      <c r="AY32" s="163">
        <f>AX32/AX14</f>
        <v>8.4587441619097065E-2</v>
      </c>
      <c r="AZ32" s="128">
        <v>34.299999999999997</v>
      </c>
      <c r="BA32" s="163">
        <f>AZ32/AZ14</f>
        <v>8.8975356679636824E-2</v>
      </c>
      <c r="BB32" s="128">
        <v>38.700000000000003</v>
      </c>
      <c r="BC32" s="163">
        <f>BB32/$BB$14</f>
        <v>9.2495219885277244E-2</v>
      </c>
      <c r="BD32" s="128">
        <v>43.8</v>
      </c>
      <c r="BE32" s="163">
        <f>ROUND(BD32/$BD$14,3)</f>
        <v>9.5000000000000001E-2</v>
      </c>
      <c r="BF32" s="128">
        <v>48.2</v>
      </c>
      <c r="BG32" s="163">
        <f>ROUND(BF32/$BF$14,3)</f>
        <v>9.6000000000000002E-2</v>
      </c>
      <c r="BH32" s="11"/>
      <c r="BI32" s="11"/>
      <c r="BJ32" s="11"/>
      <c r="BK32" s="11"/>
      <c r="BL32" s="11"/>
    </row>
    <row r="33" spans="3:64" x14ac:dyDescent="0.2"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9"/>
      <c r="AK33" s="120"/>
      <c r="AL33" s="129"/>
      <c r="AM33" s="130"/>
      <c r="AN33" s="129"/>
      <c r="AO33" s="130"/>
      <c r="AP33" s="120"/>
      <c r="AQ33" s="124"/>
      <c r="AR33" s="129"/>
      <c r="AS33" s="70"/>
      <c r="AT33" s="129"/>
      <c r="AU33" s="70"/>
      <c r="AV33" s="129"/>
      <c r="AW33" s="163"/>
      <c r="AX33" s="129"/>
      <c r="AY33" s="163"/>
      <c r="AZ33" s="129"/>
      <c r="BA33" s="163"/>
      <c r="BB33" s="129"/>
      <c r="BC33" s="163"/>
      <c r="BD33" s="129"/>
      <c r="BE33" s="163"/>
      <c r="BF33" s="129"/>
      <c r="BG33" s="163"/>
      <c r="BH33" s="11"/>
    </row>
    <row r="34" spans="3:64" x14ac:dyDescent="0.2">
      <c r="Z34" s="11"/>
      <c r="AD34" s="11"/>
      <c r="AE34" s="11"/>
      <c r="AF34" s="126"/>
      <c r="AH34" s="11"/>
      <c r="AI34" s="11"/>
      <c r="AJ34" s="61"/>
      <c r="AL34" s="61"/>
      <c r="AM34" s="60"/>
      <c r="AN34" s="61"/>
      <c r="AO34" s="60"/>
      <c r="AQ34" s="11"/>
      <c r="AR34" s="61"/>
      <c r="AS34" s="70"/>
      <c r="AT34" s="61"/>
      <c r="AU34" s="70"/>
      <c r="AV34" s="61"/>
      <c r="AW34" s="163"/>
      <c r="AX34" s="61"/>
      <c r="AY34" s="163"/>
      <c r="AZ34" s="61"/>
      <c r="BA34" s="163"/>
      <c r="BB34" s="61"/>
      <c r="BC34" s="163"/>
      <c r="BD34" s="61"/>
      <c r="BE34" s="163"/>
      <c r="BF34" s="61"/>
      <c r="BG34" s="163"/>
      <c r="BH34" s="11"/>
    </row>
    <row r="35" spans="3:64" x14ac:dyDescent="0.2">
      <c r="C35" s="2" t="s">
        <v>39</v>
      </c>
      <c r="D35" s="126">
        <v>4.5739999999999998</v>
      </c>
      <c r="E35" s="126">
        <v>5.4630000000000001</v>
      </c>
      <c r="F35" s="126">
        <v>5.2930000000000001</v>
      </c>
      <c r="G35" s="126">
        <v>6.7210000000000001</v>
      </c>
      <c r="H35" s="126">
        <v>8.4600000000000009</v>
      </c>
      <c r="I35" s="126">
        <v>9.6560000000000006</v>
      </c>
      <c r="J35" s="126">
        <v>10.204000000000001</v>
      </c>
      <c r="K35" s="126">
        <v>10.198</v>
      </c>
      <c r="L35" s="126">
        <v>11.489000000000001</v>
      </c>
      <c r="M35" s="126">
        <v>12.593999999999999</v>
      </c>
      <c r="N35" s="126">
        <v>11.595000000000001</v>
      </c>
      <c r="O35" s="126">
        <v>13.863</v>
      </c>
      <c r="P35" s="126">
        <v>17.8</v>
      </c>
      <c r="Q35" s="126">
        <v>18.8</v>
      </c>
      <c r="R35" s="126">
        <v>17.399999999999999</v>
      </c>
      <c r="S35" s="126">
        <v>21.2</v>
      </c>
      <c r="T35" s="126">
        <v>20.2</v>
      </c>
      <c r="U35" s="126">
        <v>21.4</v>
      </c>
      <c r="V35" s="126">
        <v>25.5</v>
      </c>
      <c r="W35" s="126">
        <v>32.9</v>
      </c>
      <c r="X35" s="126">
        <v>32.5</v>
      </c>
      <c r="Y35" s="126">
        <v>31.8</v>
      </c>
      <c r="Z35" s="126">
        <v>34</v>
      </c>
      <c r="AA35" s="126">
        <v>36.700000000000003</v>
      </c>
      <c r="AB35" s="126">
        <v>37.5</v>
      </c>
      <c r="AC35" s="126">
        <f>34004/1000</f>
        <v>34.003999999999998</v>
      </c>
      <c r="AD35" s="126">
        <f>32255/1000</f>
        <v>32.255000000000003</v>
      </c>
      <c r="AE35" s="126">
        <f>28844/1000</f>
        <v>28.844000000000001</v>
      </c>
      <c r="AF35" s="126">
        <v>26.491</v>
      </c>
      <c r="AG35" s="126">
        <v>33.118000000000002</v>
      </c>
      <c r="AH35" s="11">
        <v>16.61</v>
      </c>
      <c r="AI35" s="11">
        <v>24.256</v>
      </c>
      <c r="AJ35" s="127">
        <v>30</v>
      </c>
      <c r="AK35" s="126">
        <f>AJ35/$AJ$14*100</f>
        <v>9.9117851124987606</v>
      </c>
      <c r="AL35" s="127">
        <v>25.774999999999999</v>
      </c>
      <c r="AM35" s="113">
        <f>AL35/$AL$14*100</f>
        <v>9.477566388927702</v>
      </c>
      <c r="AN35" s="128">
        <v>29.2</v>
      </c>
      <c r="AO35" s="66">
        <f>AN35/$AN$14*100</f>
        <v>10.128338536246964</v>
      </c>
      <c r="AP35" s="11">
        <v>31.4</v>
      </c>
      <c r="AQ35" s="11">
        <f>AP35/$AP$14*100</f>
        <v>10.158524749272081</v>
      </c>
      <c r="AR35" s="128">
        <v>32.6</v>
      </c>
      <c r="AS35" s="70">
        <f>AR35/$AR$14*100</f>
        <v>10.136815920398011</v>
      </c>
      <c r="AT35" s="128">
        <v>33.9</v>
      </c>
      <c r="AU35" s="70">
        <f>AT35/$AR$14*100</f>
        <v>10.541044776119405</v>
      </c>
      <c r="AV35" s="128">
        <v>39.200000000000003</v>
      </c>
      <c r="AW35" s="163">
        <f>AV35/AV14</f>
        <v>0.10240334378265414</v>
      </c>
      <c r="AX35" s="128">
        <v>37.799999999999997</v>
      </c>
      <c r="AY35" s="163">
        <f>AX35/AX14</f>
        <v>9.8079916969382466E-2</v>
      </c>
      <c r="AZ35" s="128">
        <v>42.7</v>
      </c>
      <c r="BA35" s="163">
        <f>AZ35/AZ14</f>
        <v>0.11076523994811933</v>
      </c>
      <c r="BB35" s="128">
        <v>45.6</v>
      </c>
      <c r="BC35" s="163">
        <f>BB35/$BB$14</f>
        <v>0.10898661567877628</v>
      </c>
      <c r="BD35" s="128">
        <v>47.1</v>
      </c>
      <c r="BE35" s="163">
        <v>0.10099999999999999</v>
      </c>
      <c r="BF35" s="128">
        <v>51.6</v>
      </c>
      <c r="BG35" s="163">
        <f>ROUND(BF35/$BF$14,3)</f>
        <v>0.10299999999999999</v>
      </c>
      <c r="BH35" s="11"/>
      <c r="BI35" s="11"/>
      <c r="BJ35" s="11"/>
      <c r="BK35" s="11"/>
      <c r="BL35" s="11"/>
    </row>
    <row r="36" spans="3:64" x14ac:dyDescent="0.2"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9"/>
      <c r="AK36" s="120"/>
      <c r="AL36" s="129"/>
      <c r="AM36" s="130"/>
      <c r="AN36" s="129"/>
      <c r="AO36" s="130"/>
      <c r="AP36" s="120"/>
      <c r="AQ36" s="124"/>
      <c r="AR36" s="129"/>
      <c r="AS36" s="70"/>
      <c r="AT36" s="129"/>
      <c r="AU36" s="70"/>
      <c r="AV36" s="129"/>
      <c r="AW36" s="163"/>
      <c r="AX36" s="129"/>
      <c r="AY36" s="163"/>
      <c r="AZ36" s="129"/>
      <c r="BA36" s="163"/>
      <c r="BB36" s="129"/>
      <c r="BC36" s="163"/>
      <c r="BD36" s="129"/>
      <c r="BE36" s="163"/>
      <c r="BF36" s="129"/>
      <c r="BG36" s="163"/>
      <c r="BH36" s="11"/>
    </row>
    <row r="37" spans="3:64" x14ac:dyDescent="0.2">
      <c r="Z37" s="11"/>
      <c r="AD37" s="11"/>
      <c r="AE37" s="11"/>
      <c r="AF37" s="126"/>
      <c r="AH37" s="11"/>
      <c r="AI37" s="11"/>
      <c r="AJ37" s="61"/>
      <c r="AL37" s="61"/>
      <c r="AM37" s="60"/>
      <c r="AN37" s="61"/>
      <c r="AO37" s="60"/>
      <c r="AQ37" s="11"/>
      <c r="AR37" s="61"/>
      <c r="AS37" s="70"/>
      <c r="AT37" s="61"/>
      <c r="AU37" s="70"/>
      <c r="AV37" s="61"/>
      <c r="AW37" s="163"/>
      <c r="AX37" s="61"/>
      <c r="AY37" s="163"/>
      <c r="AZ37" s="61"/>
      <c r="BA37" s="163"/>
      <c r="BB37" s="61"/>
      <c r="BC37" s="163"/>
      <c r="BD37" s="61"/>
      <c r="BE37" s="163"/>
      <c r="BF37" s="61"/>
      <c r="BG37" s="163"/>
      <c r="BH37" s="11"/>
    </row>
    <row r="38" spans="3:64" x14ac:dyDescent="0.2">
      <c r="C38" s="2" t="s">
        <v>40</v>
      </c>
      <c r="D38" s="126">
        <v>5.1859999999999999</v>
      </c>
      <c r="E38" s="126">
        <v>5.81</v>
      </c>
      <c r="F38" s="126">
        <v>5.7880000000000003</v>
      </c>
      <c r="G38" s="126">
        <v>7.3289999999999997</v>
      </c>
      <c r="H38" s="126">
        <v>9.0030000000000001</v>
      </c>
      <c r="I38" s="126">
        <v>9.8759999999999994</v>
      </c>
      <c r="J38" s="126">
        <v>9.8919999999999995</v>
      </c>
      <c r="K38" s="126">
        <v>9.0039999999999996</v>
      </c>
      <c r="L38" s="126">
        <v>10.032999999999999</v>
      </c>
      <c r="M38" s="126">
        <v>13.03</v>
      </c>
      <c r="N38" s="126">
        <v>12.561999999999999</v>
      </c>
      <c r="O38" s="126">
        <v>14.914</v>
      </c>
      <c r="P38" s="126">
        <v>18.600000000000001</v>
      </c>
      <c r="Q38" s="126">
        <v>18</v>
      </c>
      <c r="R38" s="126">
        <v>16.399999999999999</v>
      </c>
      <c r="S38" s="126">
        <v>22.8</v>
      </c>
      <c r="T38" s="126">
        <v>22.5</v>
      </c>
      <c r="U38" s="126">
        <v>21.2</v>
      </c>
      <c r="V38" s="126">
        <v>22.9</v>
      </c>
      <c r="W38" s="126">
        <v>28.7</v>
      </c>
      <c r="X38" s="126">
        <v>27.7</v>
      </c>
      <c r="Y38" s="126">
        <v>28.6</v>
      </c>
      <c r="Z38" s="126">
        <v>30.1</v>
      </c>
      <c r="AA38" s="126">
        <v>30.1</v>
      </c>
      <c r="AB38" s="126">
        <v>29.5</v>
      </c>
      <c r="AC38" s="126">
        <f>24937/1000</f>
        <v>24.937000000000001</v>
      </c>
      <c r="AD38" s="126">
        <f>25765/1000</f>
        <v>25.765000000000001</v>
      </c>
      <c r="AE38" s="126">
        <f>23961/1000</f>
        <v>23.960999999999999</v>
      </c>
      <c r="AF38" s="126">
        <v>22.422000000000001</v>
      </c>
      <c r="AG38" s="126">
        <v>23.190999999999999</v>
      </c>
      <c r="AH38" s="11">
        <v>11.917</v>
      </c>
      <c r="AI38" s="11">
        <v>18.064</v>
      </c>
      <c r="AJ38" s="127">
        <v>21.6</v>
      </c>
      <c r="AK38" s="126">
        <f>AJ38/$AJ$14*100</f>
        <v>7.1364852809991079</v>
      </c>
      <c r="AL38" s="127">
        <v>19.231000000000002</v>
      </c>
      <c r="AM38" s="113">
        <f>AL38/$AL$14*100</f>
        <v>7.0713124820744389</v>
      </c>
      <c r="AN38" s="128">
        <v>19.100000000000001</v>
      </c>
      <c r="AO38" s="66">
        <f>AN38/$AN$14*100</f>
        <v>6.6250433576135972</v>
      </c>
      <c r="AP38" s="11">
        <v>20</v>
      </c>
      <c r="AQ38" s="11">
        <f>AP38/$AP$14*100</f>
        <v>6.4703979294726626</v>
      </c>
      <c r="AR38" s="128">
        <v>21.3</v>
      </c>
      <c r="AS38" s="70">
        <f>AR38/$AR$14*100</f>
        <v>6.6231343283582103</v>
      </c>
      <c r="AT38" s="128">
        <v>24.5</v>
      </c>
      <c r="AU38" s="70">
        <f>AT38/$AR$14*100</f>
        <v>7.6181592039800998</v>
      </c>
      <c r="AV38" s="128">
        <v>30.6</v>
      </c>
      <c r="AW38" s="163">
        <f>AV38/AV14</f>
        <v>7.9937304075235124E-2</v>
      </c>
      <c r="AX38" s="128">
        <v>29</v>
      </c>
      <c r="AY38" s="163">
        <f>AX38/AX14</f>
        <v>7.5246497145822544E-2</v>
      </c>
      <c r="AZ38" s="128">
        <v>28.6</v>
      </c>
      <c r="BA38" s="163">
        <f>AZ38/AZ14</f>
        <v>7.4189364461738003E-2</v>
      </c>
      <c r="BB38" s="128">
        <v>31.4</v>
      </c>
      <c r="BC38" s="163">
        <f>BB38/$BB$14</f>
        <v>7.5047801147227519E-2</v>
      </c>
      <c r="BD38" s="128">
        <v>33.9</v>
      </c>
      <c r="BE38" s="163">
        <f>ROUND(BD38/$BD$14,3)</f>
        <v>7.2999999999999995E-2</v>
      </c>
      <c r="BF38" s="128">
        <v>37.4</v>
      </c>
      <c r="BG38" s="163">
        <f>ROUND(BF38/$BF$14,3)</f>
        <v>7.3999999999999996E-2</v>
      </c>
      <c r="BH38" s="11"/>
      <c r="BI38" s="11"/>
      <c r="BJ38" s="11"/>
      <c r="BK38" s="11"/>
      <c r="BL38" s="11"/>
    </row>
    <row r="39" spans="3:64" x14ac:dyDescent="0.2"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9"/>
      <c r="AK39" s="120"/>
      <c r="AL39" s="129"/>
      <c r="AM39" s="130"/>
      <c r="AN39" s="129"/>
      <c r="AO39" s="130"/>
      <c r="AP39" s="120"/>
      <c r="AQ39" s="124"/>
      <c r="AR39" s="129"/>
      <c r="AS39" s="70"/>
      <c r="AT39" s="129"/>
      <c r="AU39" s="70"/>
      <c r="AV39" s="129"/>
      <c r="AW39" s="163"/>
      <c r="AX39" s="129"/>
      <c r="AY39" s="163"/>
      <c r="AZ39" s="129"/>
      <c r="BA39" s="163"/>
      <c r="BB39" s="129"/>
      <c r="BC39" s="163"/>
      <c r="BD39" s="129"/>
      <c r="BE39" s="163"/>
      <c r="BF39" s="129"/>
      <c r="BG39" s="163"/>
      <c r="BH39" s="11"/>
    </row>
    <row r="40" spans="3:64" x14ac:dyDescent="0.2">
      <c r="Z40" s="11"/>
      <c r="AD40" s="11"/>
      <c r="AE40" s="11"/>
      <c r="AF40" s="126"/>
      <c r="AH40" s="11"/>
      <c r="AI40" s="11"/>
      <c r="AJ40" s="61"/>
      <c r="AL40" s="61"/>
      <c r="AM40" s="60"/>
      <c r="AN40" s="61"/>
      <c r="AO40" s="60"/>
      <c r="AQ40" s="11"/>
      <c r="AR40" s="61"/>
      <c r="AS40" s="70"/>
      <c r="AT40" s="61"/>
      <c r="AU40" s="70"/>
      <c r="AV40" s="61"/>
      <c r="AW40" s="163"/>
      <c r="AX40" s="61"/>
      <c r="AY40" s="163"/>
      <c r="AZ40" s="61"/>
      <c r="BA40" s="163"/>
      <c r="BB40" s="61"/>
      <c r="BC40" s="163"/>
      <c r="BD40" s="61"/>
      <c r="BE40" s="163"/>
      <c r="BF40" s="61"/>
      <c r="BG40" s="163"/>
      <c r="BH40" s="11"/>
    </row>
    <row r="41" spans="3:64" x14ac:dyDescent="0.2">
      <c r="C41" s="2" t="s">
        <v>41</v>
      </c>
      <c r="D41" s="126">
        <v>2.5179999999999998</v>
      </c>
      <c r="E41" s="126">
        <v>3.4049999999999998</v>
      </c>
      <c r="F41" s="126">
        <v>3.4009999999999998</v>
      </c>
      <c r="G41" s="126">
        <v>4.3600000000000003</v>
      </c>
      <c r="H41" s="126">
        <v>4.806</v>
      </c>
      <c r="I41" s="126">
        <v>6.4349999999999996</v>
      </c>
      <c r="J41" s="126">
        <v>6.47</v>
      </c>
      <c r="K41" s="126">
        <v>5.9180000000000001</v>
      </c>
      <c r="L41" s="126">
        <v>6.5350000000000001</v>
      </c>
      <c r="M41" s="126">
        <v>7.6189999999999998</v>
      </c>
      <c r="N41" s="126">
        <v>7.19</v>
      </c>
      <c r="O41" s="126">
        <v>8.41</v>
      </c>
      <c r="P41" s="126">
        <v>11.2</v>
      </c>
      <c r="Q41" s="126">
        <v>10.1</v>
      </c>
      <c r="R41" s="126">
        <v>10.6</v>
      </c>
      <c r="S41" s="126">
        <v>12.7</v>
      </c>
      <c r="T41" s="126">
        <v>11.1</v>
      </c>
      <c r="U41" s="126">
        <v>13</v>
      </c>
      <c r="V41" s="126">
        <v>15.9</v>
      </c>
      <c r="W41" s="126">
        <v>20.2</v>
      </c>
      <c r="X41" s="126">
        <v>21.2</v>
      </c>
      <c r="Y41" s="126">
        <v>18.899999999999999</v>
      </c>
      <c r="Z41" s="126">
        <v>18.5</v>
      </c>
      <c r="AA41" s="126">
        <v>19.8</v>
      </c>
      <c r="AB41" s="126">
        <v>20.6</v>
      </c>
      <c r="AC41" s="126">
        <f>16033/1000</f>
        <v>16.033000000000001</v>
      </c>
      <c r="AD41" s="126">
        <f>11940/1000</f>
        <v>11.94</v>
      </c>
      <c r="AE41" s="126">
        <f>11333/1000</f>
        <v>11.333</v>
      </c>
      <c r="AF41" s="126">
        <v>11.336</v>
      </c>
      <c r="AG41" s="126">
        <v>4.9820000000000002</v>
      </c>
      <c r="AH41" s="11">
        <v>8.4939999999999998</v>
      </c>
      <c r="AI41" s="11">
        <v>10.154999999999999</v>
      </c>
      <c r="AJ41" s="127">
        <v>10.3</v>
      </c>
      <c r="AK41" s="126">
        <f>AJ41/$AJ$14*100</f>
        <v>3.4030462219579083</v>
      </c>
      <c r="AL41" s="127">
        <v>9.1150000000000002</v>
      </c>
      <c r="AM41" s="113">
        <f>AL41/$AL$14*100</f>
        <v>3.3516204708079931</v>
      </c>
      <c r="AN41" s="128">
        <v>9.6</v>
      </c>
      <c r="AO41" s="66">
        <f>AN41/$AN$14*100</f>
        <v>3.329864724245577</v>
      </c>
      <c r="AP41" s="11">
        <v>10</v>
      </c>
      <c r="AQ41" s="11">
        <f>AP41/$AP$14*100</f>
        <v>3.2351989647363313</v>
      </c>
      <c r="AR41" s="128">
        <v>10.7</v>
      </c>
      <c r="AS41" s="70">
        <f>AR41/$AR$14*100</f>
        <v>3.3271144278606966</v>
      </c>
      <c r="AT41" s="128">
        <v>10.8</v>
      </c>
      <c r="AU41" s="70">
        <f>AT41/$AR$14*100</f>
        <v>3.3582089552238812</v>
      </c>
      <c r="AV41" s="128">
        <v>13.4</v>
      </c>
      <c r="AW41" s="163">
        <f>AV41/AV14</f>
        <v>3.5005224660397079E-2</v>
      </c>
      <c r="AX41" s="128">
        <v>15.2</v>
      </c>
      <c r="AY41" s="163">
        <f>AX41/AX14</f>
        <v>3.9439543331603537E-2</v>
      </c>
      <c r="AZ41" s="128">
        <v>14.7</v>
      </c>
      <c r="BA41" s="163">
        <f>AZ41/AZ14</f>
        <v>3.8132295719844354E-2</v>
      </c>
      <c r="BB41" s="128">
        <v>16.899999999999999</v>
      </c>
      <c r="BC41" s="163">
        <f>BB41/$BB$14</f>
        <v>4.039196940726577E-2</v>
      </c>
      <c r="BD41" s="128">
        <v>16.3</v>
      </c>
      <c r="BE41" s="163">
        <f>ROUND(BD41/$BD$14,3)</f>
        <v>3.5000000000000003E-2</v>
      </c>
      <c r="BF41" s="128">
        <v>16.600000000000001</v>
      </c>
      <c r="BG41" s="163">
        <f>ROUND(BF41/$BF$14,3)</f>
        <v>3.3000000000000002E-2</v>
      </c>
      <c r="BH41" s="11"/>
      <c r="BI41" s="11"/>
      <c r="BJ41" s="11"/>
      <c r="BK41" s="11"/>
      <c r="BL41" s="11"/>
    </row>
    <row r="42" spans="3:64" x14ac:dyDescent="0.2"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9"/>
      <c r="AK42" s="120"/>
      <c r="AL42" s="129"/>
      <c r="AM42" s="130"/>
      <c r="AN42" s="129"/>
      <c r="AO42" s="130"/>
      <c r="AP42" s="120"/>
      <c r="AQ42" s="124"/>
      <c r="AR42" s="129"/>
      <c r="AS42" s="70"/>
      <c r="AT42" s="129"/>
      <c r="AU42" s="70"/>
      <c r="AV42" s="129"/>
      <c r="AW42" s="163"/>
      <c r="AX42" s="129"/>
      <c r="AY42" s="163"/>
      <c r="AZ42" s="129"/>
      <c r="BA42" s="163"/>
      <c r="BB42" s="129"/>
      <c r="BC42" s="163"/>
      <c r="BD42" s="129"/>
      <c r="BE42" s="163"/>
      <c r="BF42" s="129"/>
      <c r="BG42" s="163"/>
      <c r="BH42" s="11"/>
    </row>
    <row r="43" spans="3:64" x14ac:dyDescent="0.2">
      <c r="Z43" s="11"/>
      <c r="AD43" s="11"/>
      <c r="AE43" s="11"/>
      <c r="AF43" s="126"/>
      <c r="AH43" s="11"/>
      <c r="AI43" s="11"/>
      <c r="AJ43" s="61"/>
      <c r="AL43" s="61"/>
      <c r="AM43" s="60"/>
      <c r="AN43" s="61"/>
      <c r="AO43" s="60"/>
      <c r="AQ43" s="11"/>
      <c r="AR43" s="61"/>
      <c r="AS43" s="70"/>
      <c r="AT43" s="61"/>
      <c r="AU43" s="70"/>
      <c r="AV43" s="61"/>
      <c r="AW43" s="163"/>
      <c r="AX43" s="61"/>
      <c r="AY43" s="163"/>
      <c r="AZ43" s="61"/>
      <c r="BA43" s="163"/>
      <c r="BB43" s="61"/>
      <c r="BC43" s="163"/>
      <c r="BD43" s="61"/>
      <c r="BE43" s="163"/>
      <c r="BF43" s="61"/>
      <c r="BG43" s="163"/>
      <c r="BH43" s="11"/>
    </row>
    <row r="44" spans="3:64" x14ac:dyDescent="0.2">
      <c r="C44" s="2" t="s">
        <v>42</v>
      </c>
      <c r="D44" s="126">
        <v>3.0350000000000001</v>
      </c>
      <c r="E44" s="126">
        <v>4.5830000000000002</v>
      </c>
      <c r="F44" s="126">
        <v>4.008</v>
      </c>
      <c r="G44" s="126">
        <v>5.04</v>
      </c>
      <c r="H44" s="126">
        <v>6.9509999999999996</v>
      </c>
      <c r="I44" s="126">
        <v>8.3849999999999998</v>
      </c>
      <c r="J44" s="126">
        <v>8.3320000000000007</v>
      </c>
      <c r="K44" s="126">
        <v>8.3810000000000002</v>
      </c>
      <c r="L44" s="126">
        <v>8.8390000000000004</v>
      </c>
      <c r="M44" s="126">
        <v>9.9220000000000006</v>
      </c>
      <c r="N44" s="126">
        <v>10.15</v>
      </c>
      <c r="O44" s="126">
        <v>10.984</v>
      </c>
      <c r="P44" s="126">
        <v>14.5</v>
      </c>
      <c r="Q44" s="126">
        <v>14.9</v>
      </c>
      <c r="R44" s="126">
        <v>15.5</v>
      </c>
      <c r="S44" s="126">
        <v>18.100000000000001</v>
      </c>
      <c r="T44" s="126">
        <v>16.2</v>
      </c>
      <c r="U44" s="126">
        <v>17.600000000000001</v>
      </c>
      <c r="V44" s="126">
        <v>22</v>
      </c>
      <c r="W44" s="126">
        <v>24.3</v>
      </c>
      <c r="X44" s="126">
        <v>27.5</v>
      </c>
      <c r="Y44" s="126">
        <v>26</v>
      </c>
      <c r="Z44" s="126">
        <v>26</v>
      </c>
      <c r="AA44" s="126">
        <v>26.8</v>
      </c>
      <c r="AB44" s="126">
        <v>26.7</v>
      </c>
      <c r="AC44" s="126">
        <f>21684/1000</f>
        <v>21.684000000000001</v>
      </c>
      <c r="AD44" s="126">
        <f>15898/1000</f>
        <v>15.898</v>
      </c>
      <c r="AE44" s="126">
        <f>16151/1000</f>
        <v>16.151</v>
      </c>
      <c r="AF44" s="126">
        <v>18.879000000000001</v>
      </c>
      <c r="AG44" s="126">
        <v>1.968</v>
      </c>
      <c r="AH44" s="11">
        <v>11.103999999999999</v>
      </c>
      <c r="AI44" s="11">
        <v>14.634</v>
      </c>
      <c r="AJ44" s="127">
        <v>14.7</v>
      </c>
      <c r="AK44" s="126">
        <f>AJ44/$AJ$14*100</f>
        <v>4.8567747051243924</v>
      </c>
      <c r="AL44" s="127">
        <v>13.018000000000001</v>
      </c>
      <c r="AM44" s="113">
        <f>AL44/$AL$14*100</f>
        <v>4.7867685451430004</v>
      </c>
      <c r="AN44" s="128">
        <v>13.8</v>
      </c>
      <c r="AO44" s="66">
        <f>AN44/$AN$14*100</f>
        <v>4.786680541103018</v>
      </c>
      <c r="AP44" s="11">
        <v>14.4</v>
      </c>
      <c r="AQ44" s="11">
        <f>AP44/$AP$14*100</f>
        <v>4.6586865092203178</v>
      </c>
      <c r="AR44" s="128">
        <v>14.7</v>
      </c>
      <c r="AS44" s="70">
        <f>AR44/$AR$14*100</f>
        <v>4.5708955223880601</v>
      </c>
      <c r="AT44" s="128">
        <v>16</v>
      </c>
      <c r="AU44" s="70">
        <f>AT44/$AR$14*100</f>
        <v>4.9751243781094532</v>
      </c>
      <c r="AV44" s="128">
        <v>18.899999999999999</v>
      </c>
      <c r="AW44" s="163">
        <f>AV44/AV14</f>
        <v>4.9373040752351098E-2</v>
      </c>
      <c r="AX44" s="128">
        <v>20.2</v>
      </c>
      <c r="AY44" s="163">
        <f>AX44/AX14</f>
        <v>5.2413077322262594E-2</v>
      </c>
      <c r="AZ44" s="128">
        <v>19.5</v>
      </c>
      <c r="BA44" s="163">
        <f>AZ44/AZ14</f>
        <v>5.0583657587548639E-2</v>
      </c>
      <c r="BB44" s="128">
        <v>22.3</v>
      </c>
      <c r="BC44" s="163">
        <f>BB44/$BB$14</f>
        <v>5.3298279158699807E-2</v>
      </c>
      <c r="BD44" s="128">
        <v>22.5</v>
      </c>
      <c r="BE44" s="163">
        <f>ROUND(BD44/$BD$14,3)</f>
        <v>4.9000000000000002E-2</v>
      </c>
      <c r="BF44" s="128">
        <v>23.8</v>
      </c>
      <c r="BG44" s="163">
        <f>ROUND(BF44/$BF$14,3)</f>
        <v>4.7E-2</v>
      </c>
      <c r="BH44" s="11"/>
      <c r="BI44" s="11"/>
      <c r="BJ44" s="11"/>
      <c r="BK44" s="11"/>
      <c r="BL44" s="11"/>
    </row>
    <row r="45" spans="3:64" x14ac:dyDescent="0.2"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9"/>
      <c r="AK45" s="120"/>
      <c r="AL45" s="129"/>
      <c r="AM45" s="130"/>
      <c r="AN45" s="129"/>
      <c r="AO45" s="130"/>
      <c r="AP45" s="120"/>
      <c r="AQ45" s="124"/>
      <c r="AR45" s="129"/>
      <c r="AS45" s="70"/>
      <c r="AT45" s="129"/>
      <c r="AU45" s="70"/>
      <c r="AV45" s="129"/>
      <c r="AW45" s="163"/>
      <c r="AX45" s="129"/>
      <c r="AY45" s="163"/>
      <c r="AZ45" s="129"/>
      <c r="BA45" s="163"/>
      <c r="BB45" s="129"/>
      <c r="BC45" s="163"/>
      <c r="BD45" s="129"/>
      <c r="BE45" s="163"/>
      <c r="BF45" s="129"/>
      <c r="BG45" s="163"/>
      <c r="BH45" s="11"/>
    </row>
    <row r="46" spans="3:64" x14ac:dyDescent="0.2">
      <c r="Z46" s="11"/>
      <c r="AD46" s="11"/>
      <c r="AE46" s="11"/>
      <c r="AF46" s="126"/>
      <c r="AH46" s="11"/>
      <c r="AI46" s="11"/>
      <c r="AJ46" s="61"/>
      <c r="AL46" s="61"/>
      <c r="AM46" s="60"/>
      <c r="AN46" s="61"/>
      <c r="AO46" s="60"/>
      <c r="AQ46" s="11"/>
      <c r="AR46" s="61"/>
      <c r="AS46" s="70"/>
      <c r="AT46" s="61"/>
      <c r="AU46" s="70"/>
      <c r="AV46" s="61"/>
      <c r="AW46" s="163"/>
      <c r="AX46" s="61"/>
      <c r="AY46" s="163"/>
      <c r="AZ46" s="61"/>
      <c r="BA46" s="163"/>
      <c r="BB46" s="61"/>
      <c r="BC46" s="163"/>
      <c r="BD46" s="61"/>
      <c r="BE46" s="163"/>
      <c r="BF46" s="61"/>
      <c r="BG46" s="163"/>
      <c r="BH46" s="11"/>
    </row>
    <row r="47" spans="3:64" x14ac:dyDescent="0.2">
      <c r="C47" s="2" t="s">
        <v>43</v>
      </c>
      <c r="D47" s="126">
        <v>5.13</v>
      </c>
      <c r="E47" s="126">
        <v>5.3159999999999998</v>
      </c>
      <c r="F47" s="126">
        <v>6.0010000000000003</v>
      </c>
      <c r="G47" s="126">
        <v>6.6289999999999996</v>
      </c>
      <c r="H47" s="126">
        <v>8.8629999999999995</v>
      </c>
      <c r="I47" s="126">
        <v>10.337999999999999</v>
      </c>
      <c r="J47" s="126">
        <v>10.137</v>
      </c>
      <c r="K47" s="126">
        <v>8.85</v>
      </c>
      <c r="L47" s="126">
        <v>9.6709999999999994</v>
      </c>
      <c r="M47" s="126">
        <v>13.608000000000001</v>
      </c>
      <c r="N47" s="126">
        <v>12.692</v>
      </c>
      <c r="O47" s="126">
        <v>13.223000000000001</v>
      </c>
      <c r="P47" s="126">
        <v>17.2</v>
      </c>
      <c r="Q47" s="126">
        <v>16.3</v>
      </c>
      <c r="R47" s="126">
        <v>19.8</v>
      </c>
      <c r="S47" s="126">
        <v>22.2</v>
      </c>
      <c r="T47" s="126">
        <v>18.8</v>
      </c>
      <c r="U47" s="126">
        <v>20.9</v>
      </c>
      <c r="V47" s="126">
        <v>25.1</v>
      </c>
      <c r="W47" s="126">
        <v>28</v>
      </c>
      <c r="X47" s="126">
        <v>29.9</v>
      </c>
      <c r="Y47" s="126">
        <v>30.4</v>
      </c>
      <c r="Z47" s="126">
        <v>29.8</v>
      </c>
      <c r="AA47" s="126">
        <v>32.1</v>
      </c>
      <c r="AB47" s="126">
        <v>32.299999999999997</v>
      </c>
      <c r="AC47" s="126">
        <f>29214/1000</f>
        <v>29.213999999999999</v>
      </c>
      <c r="AD47" s="126">
        <f>23070/1000</f>
        <v>23.07</v>
      </c>
      <c r="AE47" s="126">
        <f>23903/1000</f>
        <v>23.902999999999999</v>
      </c>
      <c r="AF47" s="126">
        <v>22.745000000000001</v>
      </c>
      <c r="AG47" s="126">
        <v>4.2149999999999999</v>
      </c>
      <c r="AH47" s="11">
        <v>14.978999999999999</v>
      </c>
      <c r="AI47" s="11">
        <v>22.276</v>
      </c>
      <c r="AJ47" s="127">
        <v>19.7</v>
      </c>
      <c r="AK47" s="126">
        <f>AJ47/$AJ$14*100</f>
        <v>6.5087388905408519</v>
      </c>
      <c r="AL47" s="127">
        <v>20.614000000000001</v>
      </c>
      <c r="AM47" s="113">
        <f>AL47/$AL$14*100</f>
        <v>7.5798468881224323</v>
      </c>
      <c r="AN47" s="127">
        <v>23.2</v>
      </c>
      <c r="AO47" s="66">
        <f>AN47/$AN$14*100</f>
        <v>8.0471730835934778</v>
      </c>
      <c r="AP47" s="126">
        <v>24.9</v>
      </c>
      <c r="AQ47" s="11">
        <f>AP47/$AP$14*100</f>
        <v>8.0556454221934644</v>
      </c>
      <c r="AR47" s="127">
        <v>25.9</v>
      </c>
      <c r="AS47" s="70">
        <f>AR47/$AR$14*100</f>
        <v>8.0534825870646767</v>
      </c>
      <c r="AT47" s="127">
        <v>28.6</v>
      </c>
      <c r="AU47" s="70">
        <f>AT47/$AR$14*100</f>
        <v>8.8930348258706484</v>
      </c>
      <c r="AV47" s="127">
        <v>29.7</v>
      </c>
      <c r="AW47" s="163">
        <f>AV47/AV14</f>
        <v>7.7586206896551727E-2</v>
      </c>
      <c r="AX47" s="127">
        <v>29.8</v>
      </c>
      <c r="AY47" s="163">
        <f>AX47/AX14</f>
        <v>7.7322262584327991E-2</v>
      </c>
      <c r="AZ47" s="127">
        <v>29.2</v>
      </c>
      <c r="BA47" s="163">
        <f>AZ47/AZ14</f>
        <v>7.5745784695201032E-2</v>
      </c>
      <c r="BB47" s="127">
        <v>35</v>
      </c>
      <c r="BC47" s="163">
        <f>BB47/$BB$14</f>
        <v>8.3652007648183549E-2</v>
      </c>
      <c r="BD47" s="127">
        <v>38.200000000000003</v>
      </c>
      <c r="BE47" s="163">
        <f>ROUND(BD47/$BD$14,3)</f>
        <v>8.3000000000000004E-2</v>
      </c>
      <c r="BF47" s="127">
        <v>38.4</v>
      </c>
      <c r="BG47" s="163">
        <f>ROUND(BF47/$BF$14,3)</f>
        <v>7.5999999999999998E-2</v>
      </c>
      <c r="BH47" s="11"/>
      <c r="BI47" s="11"/>
      <c r="BJ47" s="11"/>
      <c r="BK47" s="11"/>
      <c r="BL47" s="11"/>
    </row>
    <row r="48" spans="3:64" x14ac:dyDescent="0.2"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9"/>
      <c r="AK48" s="120"/>
      <c r="AL48" s="129"/>
      <c r="AM48" s="113">
        <f>AL48/$AL$14*100</f>
        <v>0</v>
      </c>
      <c r="AN48" s="129"/>
      <c r="AO48" s="130"/>
      <c r="AP48" s="120"/>
      <c r="AQ48" s="124"/>
      <c r="AR48" s="129"/>
      <c r="AS48" s="70"/>
      <c r="AT48" s="129"/>
      <c r="AU48" s="70"/>
      <c r="AV48" s="129"/>
      <c r="AW48" s="163"/>
      <c r="AX48" s="129"/>
      <c r="AY48" s="163"/>
      <c r="AZ48" s="129"/>
      <c r="BA48" s="163"/>
      <c r="BB48" s="129"/>
      <c r="BC48" s="163"/>
      <c r="BD48" s="129"/>
      <c r="BE48" s="163"/>
      <c r="BF48" s="129"/>
      <c r="BG48" s="163"/>
      <c r="BH48" s="11"/>
    </row>
    <row r="49" spans="2:64" x14ac:dyDescent="0.2">
      <c r="Z49" s="11"/>
      <c r="AD49" s="11"/>
      <c r="AE49" s="11"/>
      <c r="AF49" s="126"/>
      <c r="AH49" s="11"/>
      <c r="AI49" s="11"/>
      <c r="AJ49" s="61"/>
      <c r="AL49" s="61"/>
      <c r="AM49" s="60"/>
      <c r="AN49" s="61"/>
      <c r="AO49" s="60"/>
      <c r="AQ49" s="11"/>
      <c r="AR49" s="61"/>
      <c r="AS49" s="70"/>
      <c r="AT49" s="61"/>
      <c r="AU49" s="70"/>
      <c r="AV49" s="61"/>
      <c r="AW49" s="163"/>
      <c r="AX49" s="61"/>
      <c r="AY49" s="163"/>
      <c r="AZ49" s="61"/>
      <c r="BA49" s="163"/>
      <c r="BB49" s="61"/>
      <c r="BC49" s="163"/>
      <c r="BD49" s="61"/>
      <c r="BE49" s="163"/>
      <c r="BF49" s="61"/>
      <c r="BG49" s="163"/>
      <c r="BH49" s="11"/>
    </row>
    <row r="50" spans="2:64" x14ac:dyDescent="0.2">
      <c r="C50" s="2" t="s">
        <v>44</v>
      </c>
      <c r="D50" s="126">
        <v>5.9960000000000004</v>
      </c>
      <c r="E50" s="126">
        <v>7.0019999999999998</v>
      </c>
      <c r="F50" s="126">
        <v>6.8049999999999997</v>
      </c>
      <c r="G50" s="126">
        <v>7.4989999999999997</v>
      </c>
      <c r="H50" s="126">
        <v>10.49</v>
      </c>
      <c r="I50" s="126">
        <v>11.423999999999999</v>
      </c>
      <c r="J50" s="126">
        <v>11.781000000000001</v>
      </c>
      <c r="K50" s="126">
        <v>11.814</v>
      </c>
      <c r="L50" s="126">
        <v>12.345000000000001</v>
      </c>
      <c r="M50" s="126">
        <v>14.401999999999999</v>
      </c>
      <c r="N50" s="126">
        <v>15.303000000000001</v>
      </c>
      <c r="O50" s="126">
        <v>16.8</v>
      </c>
      <c r="P50" s="126">
        <v>19.899999999999999</v>
      </c>
      <c r="Q50" s="126">
        <v>18.600000000000001</v>
      </c>
      <c r="R50" s="126">
        <v>21.5</v>
      </c>
      <c r="S50" s="126">
        <v>22.3</v>
      </c>
      <c r="T50" s="126">
        <v>21.2</v>
      </c>
      <c r="U50" s="126">
        <v>23.7</v>
      </c>
      <c r="V50" s="126">
        <v>28</v>
      </c>
      <c r="W50" s="126">
        <v>31.5</v>
      </c>
      <c r="X50" s="126">
        <v>31.9</v>
      </c>
      <c r="Y50" s="126">
        <v>34.4</v>
      </c>
      <c r="Z50" s="126">
        <v>36.299999999999997</v>
      </c>
      <c r="AA50" s="126">
        <v>36.700000000000003</v>
      </c>
      <c r="AB50" s="126">
        <v>33.9</v>
      </c>
      <c r="AC50" s="126">
        <f>35806/1000</f>
        <v>35.805999999999997</v>
      </c>
      <c r="AD50" s="126">
        <f>28049/1000</f>
        <v>28.048999999999999</v>
      </c>
      <c r="AE50" s="126">
        <f>29060/1000</f>
        <v>29.06</v>
      </c>
      <c r="AF50" s="126">
        <v>30.847999999999999</v>
      </c>
      <c r="AG50" s="165">
        <v>11.201000000000001</v>
      </c>
      <c r="AH50" s="11">
        <v>21.591999999999999</v>
      </c>
      <c r="AI50" s="11">
        <v>27.385999999999999</v>
      </c>
      <c r="AJ50" s="128">
        <v>28.15</v>
      </c>
      <c r="AK50" s="126">
        <f>AJ50/$AJ$14*100</f>
        <v>9.3005583638946696</v>
      </c>
      <c r="AL50" s="128">
        <v>29.565000000000001</v>
      </c>
      <c r="AM50" s="113">
        <f>AL50/$AL$14*100</f>
        <v>10.871163929724444</v>
      </c>
      <c r="AN50" s="127">
        <v>31.4</v>
      </c>
      <c r="AO50" s="66">
        <f>AN50/$AN$14*100</f>
        <v>10.891432535553241</v>
      </c>
      <c r="AP50" s="126">
        <v>33.4</v>
      </c>
      <c r="AQ50" s="11">
        <f>AP50/$AP$14*100</f>
        <v>10.805564542219347</v>
      </c>
      <c r="AR50" s="127">
        <v>35.4</v>
      </c>
      <c r="AS50" s="70">
        <f>AR50/$AR$14*100</f>
        <v>11.007462686567166</v>
      </c>
      <c r="AT50" s="127">
        <v>39.200000000000003</v>
      </c>
      <c r="AU50" s="70">
        <f>AT50/$AR$14*100</f>
        <v>12.189054726368163</v>
      </c>
      <c r="AV50" s="127">
        <v>40.6</v>
      </c>
      <c r="AW50" s="163">
        <f>AV50/AV14</f>
        <v>0.10606060606060608</v>
      </c>
      <c r="AX50" s="127">
        <v>39.9</v>
      </c>
      <c r="AY50" s="163">
        <f>AX50/AX14</f>
        <v>0.10352880124545928</v>
      </c>
      <c r="AZ50" s="127">
        <v>40.299999999999997</v>
      </c>
      <c r="BA50" s="163">
        <f>AZ50/AZ14</f>
        <v>0.10453955901426717</v>
      </c>
      <c r="BB50" s="127">
        <v>49</v>
      </c>
      <c r="BC50" s="163">
        <f>BB50/$BB$14</f>
        <v>0.11711281070745697</v>
      </c>
      <c r="BD50" s="127">
        <v>52</v>
      </c>
      <c r="BE50" s="163">
        <f>ROUND(BD50/$BD$14,3)</f>
        <v>0.112</v>
      </c>
      <c r="BF50" s="127">
        <v>54.2</v>
      </c>
      <c r="BG50" s="163">
        <f>ROUND(BF50/$BF$14,3)</f>
        <v>0.108</v>
      </c>
      <c r="BH50" s="11"/>
      <c r="BI50" s="11"/>
      <c r="BJ50" s="11"/>
      <c r="BK50" s="11"/>
      <c r="BL50" s="11"/>
    </row>
    <row r="51" spans="2:64" x14ac:dyDescent="0.2"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9"/>
      <c r="AK51" s="120"/>
      <c r="AL51" s="129"/>
      <c r="AM51" s="130"/>
      <c r="AN51" s="129"/>
      <c r="AO51" s="130"/>
      <c r="AP51" s="120"/>
      <c r="AQ51" s="120"/>
      <c r="AR51" s="129"/>
      <c r="AS51" s="163"/>
      <c r="AT51" s="129"/>
      <c r="AU51" s="163"/>
      <c r="AV51" s="129"/>
      <c r="AW51" s="163"/>
      <c r="AX51" s="129"/>
      <c r="AY51" s="163"/>
      <c r="AZ51" s="129"/>
      <c r="BA51" s="163"/>
      <c r="BB51" s="129"/>
      <c r="BC51" s="163"/>
      <c r="BD51" s="129"/>
      <c r="BE51" s="163"/>
      <c r="BF51" s="129"/>
      <c r="BG51" s="163"/>
    </row>
    <row r="52" spans="2:64" x14ac:dyDescent="0.2">
      <c r="B52" s="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136"/>
      <c r="AK52" s="137"/>
      <c r="AL52" s="136"/>
      <c r="AM52" s="51"/>
      <c r="AN52" s="136"/>
      <c r="AO52" s="51"/>
      <c r="AP52" s="51"/>
      <c r="AQ52" s="51"/>
      <c r="AR52" s="136"/>
      <c r="AS52" s="51"/>
      <c r="AT52" s="136"/>
      <c r="AU52" s="51"/>
      <c r="AV52" s="136"/>
      <c r="AW52" s="51"/>
      <c r="AX52" s="136"/>
      <c r="AY52" s="51"/>
      <c r="AZ52" s="136"/>
      <c r="BA52" s="51"/>
      <c r="BB52" s="136"/>
      <c r="BC52" s="51"/>
      <c r="BD52" s="136"/>
      <c r="BE52" s="51"/>
      <c r="BF52" s="136"/>
      <c r="BG52" s="51"/>
    </row>
    <row r="54" spans="2:64" x14ac:dyDescent="0.2">
      <c r="C54" s="20" t="s">
        <v>77</v>
      </c>
    </row>
    <row r="55" spans="2:64" ht="14.25" x14ac:dyDescent="0.2">
      <c r="B55" s="32"/>
    </row>
    <row r="57" spans="2:64" x14ac:dyDescent="0.2">
      <c r="C57" s="36"/>
    </row>
    <row r="58" spans="2:64" x14ac:dyDescent="0.2">
      <c r="C58" s="36"/>
    </row>
    <row r="61" spans="2:64" x14ac:dyDescent="0.2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</row>
    <row r="62" spans="2:64" ht="9" customHeight="1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2:64" x14ac:dyDescent="0.2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</row>
  </sheetData>
  <mergeCells count="16">
    <mergeCell ref="BF10:BG10"/>
    <mergeCell ref="C9:BG9"/>
    <mergeCell ref="BD10:BE10"/>
    <mergeCell ref="AE4:AS4"/>
    <mergeCell ref="C10:C11"/>
    <mergeCell ref="AJ10:AK10"/>
    <mergeCell ref="AL10:AM10"/>
    <mergeCell ref="AN10:AO10"/>
    <mergeCell ref="AP10:AQ10"/>
    <mergeCell ref="AR10:AS10"/>
    <mergeCell ref="C7:BC7"/>
    <mergeCell ref="BB10:BC10"/>
    <mergeCell ref="AZ10:BA10"/>
    <mergeCell ref="AV10:AW10"/>
    <mergeCell ref="AX10:AY10"/>
    <mergeCell ref="AT10:AU10"/>
  </mergeCells>
  <printOptions horizontalCentered="1"/>
  <pageMargins left="1" right="1" top="1" bottom="1" header="0.5" footer="0.24"/>
  <pageSetup scale="50" orientation="portrait" horizontalDpi="300" verticalDpi="300" r:id="rId1"/>
  <headerFooter alignWithMargins="0"/>
  <ignoredErrors>
    <ignoredError sqref="AY15:AY52" evalError="1"/>
    <ignoredError sqref="AW14:AX14 AQ14 AZ14:BC14 BE14" formula="1"/>
    <ignoredError sqref="AY14" evalError="1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1</xdr:col>
                <xdr:colOff>85725</xdr:colOff>
                <xdr:row>1</xdr:row>
                <xdr:rowOff>104775</xdr:rowOff>
              </from>
              <to>
                <xdr:col>2</xdr:col>
                <xdr:colOff>638175</xdr:colOff>
                <xdr:row>4</xdr:row>
                <xdr:rowOff>38100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B3:X94"/>
  <sheetViews>
    <sheetView workbookViewId="0">
      <selection activeCell="X6" sqref="X6"/>
    </sheetView>
  </sheetViews>
  <sheetFormatPr defaultColWidth="9.140625" defaultRowHeight="12.75" x14ac:dyDescent="0.2"/>
  <cols>
    <col min="1" max="1" width="9.140625" style="2" customWidth="1"/>
    <col min="2" max="2" width="7.85546875" style="2" customWidth="1"/>
    <col min="3" max="3" width="25.5703125" style="2" customWidth="1"/>
    <col min="4" max="9" width="13.42578125" style="2" hidden="1" customWidth="1"/>
    <col min="10" max="12" width="13.42578125" style="2" customWidth="1"/>
    <col min="13" max="13" width="10.7109375" style="2" customWidth="1"/>
    <col min="14" max="14" width="10.5703125" style="2" bestFit="1" customWidth="1"/>
    <col min="15" max="15" width="10.42578125" style="2" customWidth="1"/>
    <col min="16" max="18" width="7" style="2" hidden="1" customWidth="1"/>
    <col min="19" max="19" width="9.42578125" style="2" customWidth="1"/>
    <col min="20" max="16384" width="9.140625" style="2"/>
  </cols>
  <sheetData>
    <row r="3" spans="2:24" x14ac:dyDescent="0.2">
      <c r="O3" s="8" t="s">
        <v>111</v>
      </c>
    </row>
    <row r="4" spans="2:24" ht="15" x14ac:dyDescent="0.25">
      <c r="M4" s="50"/>
      <c r="N4" s="50"/>
    </row>
    <row r="5" spans="2:24" ht="9" customHeight="1" x14ac:dyDescent="0.2"/>
    <row r="8" spans="2:24" ht="15.75" x14ac:dyDescent="0.25">
      <c r="B8" s="27">
        <v>15.04</v>
      </c>
      <c r="C8" s="207" t="s">
        <v>113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</row>
    <row r="10" spans="2:24" x14ac:dyDescent="0.2">
      <c r="D10" s="166" t="s">
        <v>45</v>
      </c>
      <c r="E10" s="166" t="s">
        <v>45</v>
      </c>
      <c r="F10" s="166" t="s">
        <v>45</v>
      </c>
      <c r="G10" s="166" t="s">
        <v>45</v>
      </c>
      <c r="H10" s="166"/>
      <c r="I10" s="166"/>
      <c r="J10" s="166"/>
      <c r="K10" s="166"/>
      <c r="N10" s="166"/>
      <c r="O10" s="166"/>
      <c r="P10" s="166" t="s">
        <v>45</v>
      </c>
      <c r="Q10" s="166" t="s">
        <v>45</v>
      </c>
      <c r="R10" s="166" t="s">
        <v>45</v>
      </c>
      <c r="S10" s="166"/>
      <c r="V10" s="166" t="s">
        <v>45</v>
      </c>
    </row>
    <row r="11" spans="2:24" x14ac:dyDescent="0.2">
      <c r="C11" s="167"/>
      <c r="D11" s="94">
        <v>2004</v>
      </c>
      <c r="E11" s="94">
        <v>2005</v>
      </c>
      <c r="F11" s="94">
        <v>2006</v>
      </c>
      <c r="G11" s="52">
        <v>2007</v>
      </c>
      <c r="H11" s="52">
        <v>2008</v>
      </c>
      <c r="I11" s="52">
        <v>2009</v>
      </c>
      <c r="J11" s="52">
        <v>2010</v>
      </c>
      <c r="K11" s="52">
        <v>2011</v>
      </c>
      <c r="L11" s="52">
        <v>2012</v>
      </c>
      <c r="M11" s="52">
        <v>2013</v>
      </c>
      <c r="N11" s="52">
        <v>2014</v>
      </c>
      <c r="O11" s="52">
        <v>2015</v>
      </c>
      <c r="P11" s="52">
        <v>2015</v>
      </c>
      <c r="Q11" s="52">
        <v>2015</v>
      </c>
      <c r="R11" s="52">
        <v>2015</v>
      </c>
      <c r="S11" s="52">
        <v>2016</v>
      </c>
      <c r="T11" s="52">
        <v>2017</v>
      </c>
      <c r="U11" s="52">
        <v>2018</v>
      </c>
      <c r="V11" s="52">
        <v>2019</v>
      </c>
    </row>
    <row r="13" spans="2:24" x14ac:dyDescent="0.2">
      <c r="C13" s="8" t="s">
        <v>46</v>
      </c>
      <c r="W13" s="35"/>
      <c r="X13" s="2">
        <v>1</v>
      </c>
    </row>
    <row r="14" spans="2:24" x14ac:dyDescent="0.2">
      <c r="C14" s="2" t="s">
        <v>47</v>
      </c>
      <c r="D14" s="126">
        <v>50.7</v>
      </c>
      <c r="E14" s="126">
        <v>49.3</v>
      </c>
      <c r="F14" s="134">
        <v>50.28</v>
      </c>
      <c r="G14" s="11">
        <v>51</v>
      </c>
      <c r="H14" s="11">
        <v>51.2</v>
      </c>
      <c r="I14" s="11">
        <v>51.5</v>
      </c>
      <c r="J14" s="11">
        <v>51.4</v>
      </c>
      <c r="K14" s="11">
        <v>51.2</v>
      </c>
      <c r="L14" s="11">
        <v>51.2</v>
      </c>
      <c r="M14" s="11">
        <v>51.3</v>
      </c>
      <c r="N14" s="11">
        <v>51.7</v>
      </c>
      <c r="O14" s="11">
        <v>51.7</v>
      </c>
      <c r="P14" s="11">
        <v>51.7</v>
      </c>
      <c r="Q14" s="11">
        <v>51.7</v>
      </c>
      <c r="R14" s="11">
        <v>51.7</v>
      </c>
      <c r="S14" s="11">
        <v>51.8</v>
      </c>
      <c r="T14" s="11">
        <v>52.153067736129998</v>
      </c>
      <c r="U14" s="11">
        <v>52.1</v>
      </c>
      <c r="V14" s="11">
        <v>52.5</v>
      </c>
      <c r="W14" s="35"/>
    </row>
    <row r="15" spans="2:24" x14ac:dyDescent="0.2">
      <c r="C15" s="2" t="s">
        <v>48</v>
      </c>
      <c r="D15" s="126">
        <v>49.3</v>
      </c>
      <c r="E15" s="126">
        <v>50.7</v>
      </c>
      <c r="F15" s="134">
        <v>49.71</v>
      </c>
      <c r="G15" s="11">
        <v>49</v>
      </c>
      <c r="H15" s="11">
        <v>48.8</v>
      </c>
      <c r="I15" s="11">
        <v>48.5</v>
      </c>
      <c r="J15" s="11">
        <v>48.6</v>
      </c>
      <c r="K15" s="11">
        <v>48.8</v>
      </c>
      <c r="L15" s="11">
        <v>48.8</v>
      </c>
      <c r="M15" s="11">
        <v>48.7</v>
      </c>
      <c r="N15" s="11">
        <v>48.3</v>
      </c>
      <c r="O15" s="11">
        <v>48.3</v>
      </c>
      <c r="P15" s="11">
        <v>48.3</v>
      </c>
      <c r="Q15" s="11">
        <v>48.3</v>
      </c>
      <c r="R15" s="11">
        <v>48.3</v>
      </c>
      <c r="S15" s="11">
        <v>48.2</v>
      </c>
      <c r="T15" s="11">
        <v>47.846932263870002</v>
      </c>
      <c r="U15" s="11">
        <v>47.9</v>
      </c>
      <c r="V15" s="11">
        <v>47.5</v>
      </c>
      <c r="W15" s="35"/>
    </row>
    <row r="16" spans="2:24" x14ac:dyDescent="0.2"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35"/>
    </row>
    <row r="17" spans="3:23" x14ac:dyDescent="0.2">
      <c r="C17" s="8" t="s">
        <v>49</v>
      </c>
      <c r="W17" s="35"/>
    </row>
    <row r="18" spans="3:23" x14ac:dyDescent="0.2">
      <c r="C18" s="36" t="s">
        <v>50</v>
      </c>
      <c r="D18" s="126">
        <v>17.3</v>
      </c>
      <c r="E18" s="126">
        <v>15.3</v>
      </c>
      <c r="F18" s="134">
        <v>15.4</v>
      </c>
      <c r="G18" s="11">
        <f>(43925/291503*100)</f>
        <v>15.068455556203538</v>
      </c>
      <c r="H18" s="11">
        <v>16.100000000000001</v>
      </c>
      <c r="I18" s="11">
        <v>15.8</v>
      </c>
      <c r="J18" s="11">
        <v>15.7</v>
      </c>
      <c r="K18" s="11">
        <v>15.5</v>
      </c>
      <c r="L18" s="11">
        <v>15.6</v>
      </c>
      <c r="M18" s="11">
        <v>15.7</v>
      </c>
      <c r="N18" s="11">
        <v>15.6</v>
      </c>
      <c r="O18" s="11">
        <v>15.8</v>
      </c>
      <c r="P18" s="11">
        <v>15.8</v>
      </c>
      <c r="Q18" s="11">
        <v>15.8</v>
      </c>
      <c r="R18" s="11">
        <v>15.8</v>
      </c>
      <c r="S18" s="11">
        <v>16.399999999999999</v>
      </c>
      <c r="T18" s="11">
        <v>17</v>
      </c>
      <c r="U18" s="11">
        <v>16.7</v>
      </c>
      <c r="V18" s="11">
        <v>17.2</v>
      </c>
      <c r="W18" s="35"/>
    </row>
    <row r="19" spans="3:23" x14ac:dyDescent="0.2">
      <c r="C19" s="36" t="s">
        <v>51</v>
      </c>
      <c r="D19" s="126">
        <v>23.3</v>
      </c>
      <c r="E19" s="126">
        <v>24.9</v>
      </c>
      <c r="F19" s="134">
        <v>21.79</v>
      </c>
      <c r="G19" s="11">
        <f>SUM(62832/291503*100)</f>
        <v>21.554495150993301</v>
      </c>
      <c r="H19" s="11">
        <v>21.8</v>
      </c>
      <c r="I19" s="11">
        <v>21.7</v>
      </c>
      <c r="J19" s="11">
        <v>21.1</v>
      </c>
      <c r="K19" s="11">
        <v>20.8</v>
      </c>
      <c r="L19" s="11">
        <v>20.399999999999999</v>
      </c>
      <c r="M19" s="11">
        <v>19.8</v>
      </c>
      <c r="N19" s="11">
        <v>19.899999999999999</v>
      </c>
      <c r="O19" s="11">
        <v>20.100000000000001</v>
      </c>
      <c r="P19" s="11">
        <v>20.100000000000001</v>
      </c>
      <c r="Q19" s="11">
        <v>20.100000000000001</v>
      </c>
      <c r="R19" s="11">
        <v>20.100000000000001</v>
      </c>
      <c r="S19" s="11">
        <v>19.399999999999999</v>
      </c>
      <c r="T19" s="11">
        <v>19.399999999999999</v>
      </c>
      <c r="U19" s="11">
        <v>19.7</v>
      </c>
      <c r="V19" s="11">
        <v>19.8</v>
      </c>
      <c r="W19" s="35"/>
    </row>
    <row r="20" spans="3:23" x14ac:dyDescent="0.2">
      <c r="C20" s="36" t="s">
        <v>52</v>
      </c>
      <c r="D20" s="126">
        <v>29.8</v>
      </c>
      <c r="E20" s="126">
        <v>29</v>
      </c>
      <c r="F20" s="134">
        <v>30.18</v>
      </c>
      <c r="G20" s="11">
        <f>SUM(84496/291503*100)</f>
        <v>28.986322610745002</v>
      </c>
      <c r="H20" s="11">
        <v>28.2</v>
      </c>
      <c r="I20" s="11">
        <v>27.5</v>
      </c>
      <c r="J20" s="11">
        <v>27.4</v>
      </c>
      <c r="K20" s="11">
        <v>26.8</v>
      </c>
      <c r="L20" s="11">
        <v>26.3</v>
      </c>
      <c r="M20" s="11">
        <v>26.1</v>
      </c>
      <c r="N20" s="11">
        <v>25.5</v>
      </c>
      <c r="O20" s="11">
        <v>24.7</v>
      </c>
      <c r="P20" s="11">
        <v>24.7</v>
      </c>
      <c r="Q20" s="11">
        <v>24.7</v>
      </c>
      <c r="R20" s="11">
        <v>24.7</v>
      </c>
      <c r="S20" s="11">
        <v>24.4</v>
      </c>
      <c r="T20" s="11">
        <v>24.7</v>
      </c>
      <c r="U20" s="11">
        <v>24.9</v>
      </c>
      <c r="V20" s="11">
        <v>25.3</v>
      </c>
    </row>
    <row r="21" spans="3:23" x14ac:dyDescent="0.2">
      <c r="C21" s="36" t="s">
        <v>53</v>
      </c>
      <c r="D21" s="126">
        <v>19.899999999999999</v>
      </c>
      <c r="E21" s="126">
        <v>20.2</v>
      </c>
      <c r="F21" s="134">
        <v>21.49</v>
      </c>
      <c r="G21" s="11">
        <f>SUM(62977/291503*100)</f>
        <v>21.6042373491868</v>
      </c>
      <c r="H21" s="11">
        <v>21</v>
      </c>
      <c r="I21" s="11">
        <v>21.3</v>
      </c>
      <c r="J21" s="11">
        <v>21.5</v>
      </c>
      <c r="K21" s="11">
        <v>21.9</v>
      </c>
      <c r="L21" s="11">
        <v>22.2</v>
      </c>
      <c r="M21" s="11">
        <v>22.6</v>
      </c>
      <c r="N21" s="11">
        <v>22.6</v>
      </c>
      <c r="O21" s="11">
        <v>22.4</v>
      </c>
      <c r="P21" s="11">
        <v>22.4</v>
      </c>
      <c r="Q21" s="11">
        <v>22.4</v>
      </c>
      <c r="R21" s="11">
        <v>22.4</v>
      </c>
      <c r="S21" s="11">
        <v>22.6</v>
      </c>
      <c r="T21" s="11">
        <v>21.9</v>
      </c>
      <c r="U21" s="11">
        <v>21.5</v>
      </c>
      <c r="V21" s="11">
        <v>20.9</v>
      </c>
    </row>
    <row r="22" spans="3:23" x14ac:dyDescent="0.2">
      <c r="C22" s="36" t="s">
        <v>54</v>
      </c>
      <c r="D22" s="126">
        <v>9.6999999999999993</v>
      </c>
      <c r="E22" s="126">
        <v>10.6</v>
      </c>
      <c r="F22" s="134">
        <v>11.14</v>
      </c>
      <c r="G22" s="11">
        <f>SUM(37269/291503*100)</f>
        <v>12.785117134300506</v>
      </c>
      <c r="H22" s="11">
        <v>12.9</v>
      </c>
      <c r="I22" s="11">
        <v>13.6</v>
      </c>
      <c r="J22" s="11">
        <v>14.4</v>
      </c>
      <c r="K22" s="11">
        <v>15</v>
      </c>
      <c r="L22" s="11">
        <v>15.5</v>
      </c>
      <c r="M22" s="11">
        <v>15.8</v>
      </c>
      <c r="N22" s="11">
        <v>16.37</v>
      </c>
      <c r="O22" s="11">
        <v>17</v>
      </c>
      <c r="P22" s="11">
        <v>17</v>
      </c>
      <c r="Q22" s="11">
        <v>17</v>
      </c>
      <c r="R22" s="11">
        <v>17</v>
      </c>
      <c r="S22" s="11">
        <v>17.2</v>
      </c>
      <c r="T22" s="11">
        <v>17</v>
      </c>
      <c r="U22" s="11">
        <v>17.2</v>
      </c>
      <c r="V22" s="11">
        <v>16.8</v>
      </c>
      <c r="W22" s="35"/>
    </row>
    <row r="23" spans="3:23" x14ac:dyDescent="0.2"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</row>
    <row r="24" spans="3:23" x14ac:dyDescent="0.2">
      <c r="C24" s="8" t="s">
        <v>56</v>
      </c>
    </row>
    <row r="25" spans="3:23" x14ac:dyDescent="0.2">
      <c r="C25" s="9" t="s">
        <v>57</v>
      </c>
      <c r="D25" s="2">
        <v>12.7</v>
      </c>
      <c r="E25" s="2">
        <v>12.2</v>
      </c>
      <c r="F25" s="2">
        <v>13.6</v>
      </c>
      <c r="G25" s="2">
        <v>14.1</v>
      </c>
      <c r="H25" s="2">
        <v>13.6</v>
      </c>
      <c r="I25" s="2">
        <v>12.9</v>
      </c>
      <c r="J25" s="2">
        <v>12.6</v>
      </c>
      <c r="K25" s="2">
        <v>12.8</v>
      </c>
      <c r="L25" s="2">
        <v>13.1</v>
      </c>
      <c r="M25" s="2">
        <v>11.9</v>
      </c>
      <c r="N25" s="2">
        <v>11.2</v>
      </c>
      <c r="O25" s="11">
        <v>11</v>
      </c>
      <c r="P25" s="11">
        <v>11</v>
      </c>
      <c r="Q25" s="11">
        <v>11</v>
      </c>
      <c r="R25" s="11">
        <v>11</v>
      </c>
      <c r="S25" s="11">
        <v>12.1</v>
      </c>
      <c r="T25" s="11">
        <v>12.5</v>
      </c>
      <c r="U25" s="11">
        <v>12.9</v>
      </c>
      <c r="V25" s="11">
        <v>12.9</v>
      </c>
    </row>
    <row r="26" spans="3:23" x14ac:dyDescent="0.2">
      <c r="C26" s="2" t="s">
        <v>58</v>
      </c>
      <c r="D26" s="126">
        <v>38.200000000000003</v>
      </c>
      <c r="E26" s="134">
        <v>33.5</v>
      </c>
      <c r="F26" s="134">
        <v>38</v>
      </c>
      <c r="G26" s="11">
        <v>38.799999999999997</v>
      </c>
      <c r="H26" s="11">
        <v>39.5</v>
      </c>
      <c r="I26" s="11">
        <v>37.700000000000003</v>
      </c>
      <c r="J26" s="11">
        <v>36.1</v>
      </c>
      <c r="K26" s="11">
        <v>37.299999999999997</v>
      </c>
      <c r="L26" s="11">
        <v>37.5</v>
      </c>
      <c r="M26" s="11">
        <v>35.700000000000003</v>
      </c>
      <c r="N26" s="11">
        <v>35.6</v>
      </c>
      <c r="O26" s="11">
        <v>35.799999999999997</v>
      </c>
      <c r="P26" s="11">
        <v>35.799999999999997</v>
      </c>
      <c r="Q26" s="11">
        <v>35.799999999999997</v>
      </c>
      <c r="R26" s="11">
        <v>35.799999999999997</v>
      </c>
      <c r="S26" s="11">
        <v>38.700000000000003</v>
      </c>
      <c r="T26" s="11">
        <v>42.7</v>
      </c>
      <c r="U26" s="11">
        <v>43.4</v>
      </c>
      <c r="V26" s="11">
        <v>43.1</v>
      </c>
      <c r="W26" s="34"/>
    </row>
    <row r="27" spans="3:23" x14ac:dyDescent="0.2">
      <c r="C27" s="2" t="s">
        <v>59</v>
      </c>
      <c r="D27" s="126">
        <v>16.5</v>
      </c>
      <c r="E27" s="134">
        <v>13.5</v>
      </c>
      <c r="F27" s="134">
        <v>14.3</v>
      </c>
      <c r="G27" s="11">
        <v>15.5</v>
      </c>
      <c r="H27" s="11">
        <v>16.100000000000001</v>
      </c>
      <c r="I27" s="11">
        <v>15.8</v>
      </c>
      <c r="J27" s="11">
        <v>15.3</v>
      </c>
      <c r="K27" s="11">
        <v>15.7</v>
      </c>
      <c r="L27" s="11">
        <v>16</v>
      </c>
      <c r="M27" s="11">
        <v>15.3</v>
      </c>
      <c r="N27" s="11">
        <v>14.8</v>
      </c>
      <c r="O27" s="11">
        <v>15.1</v>
      </c>
      <c r="P27" s="11">
        <v>15.1</v>
      </c>
      <c r="Q27" s="11">
        <v>15.1</v>
      </c>
      <c r="R27" s="11">
        <v>15.1</v>
      </c>
      <c r="S27" s="11">
        <v>17</v>
      </c>
      <c r="T27" s="11">
        <v>18.7</v>
      </c>
      <c r="U27" s="11">
        <v>18.600000000000001</v>
      </c>
      <c r="V27" s="11">
        <v>19.5</v>
      </c>
      <c r="W27" s="34"/>
    </row>
    <row r="28" spans="3:23" x14ac:dyDescent="0.2">
      <c r="C28" s="9" t="s">
        <v>60</v>
      </c>
      <c r="D28" s="126">
        <v>8.1</v>
      </c>
      <c r="E28" s="134">
        <v>7.6</v>
      </c>
      <c r="F28" s="134">
        <v>8.5</v>
      </c>
      <c r="G28" s="11">
        <v>9.6</v>
      </c>
      <c r="H28" s="11">
        <v>9.9</v>
      </c>
      <c r="I28" s="11">
        <v>10.1</v>
      </c>
      <c r="J28" s="11">
        <v>10</v>
      </c>
      <c r="K28" s="11">
        <v>10.5</v>
      </c>
      <c r="L28" s="11">
        <v>10.6</v>
      </c>
      <c r="M28" s="11">
        <v>10.199999999999999</v>
      </c>
      <c r="N28" s="11">
        <v>10</v>
      </c>
      <c r="O28" s="11">
        <v>10.14</v>
      </c>
      <c r="P28" s="11">
        <v>10.14</v>
      </c>
      <c r="Q28" s="11">
        <v>10.14</v>
      </c>
      <c r="R28" s="11">
        <v>10.14</v>
      </c>
      <c r="S28" s="11">
        <v>11.5</v>
      </c>
      <c r="T28" s="11">
        <v>12.3</v>
      </c>
      <c r="U28" s="11">
        <v>12.5</v>
      </c>
      <c r="V28" s="11">
        <v>12.5</v>
      </c>
      <c r="W28" s="34"/>
    </row>
    <row r="29" spans="3:23" x14ac:dyDescent="0.2">
      <c r="C29" s="9" t="s">
        <v>61</v>
      </c>
      <c r="D29" s="126">
        <v>9</v>
      </c>
      <c r="E29" s="134">
        <v>8.5</v>
      </c>
      <c r="F29" s="134">
        <v>7.5</v>
      </c>
      <c r="G29" s="11">
        <v>7.6</v>
      </c>
      <c r="H29" s="11">
        <v>7.8</v>
      </c>
      <c r="I29" s="11">
        <v>7.6</v>
      </c>
      <c r="J29" s="11">
        <v>6.9</v>
      </c>
      <c r="K29" s="11">
        <v>7.1</v>
      </c>
      <c r="L29" s="11">
        <v>7.1</v>
      </c>
      <c r="M29" s="11">
        <v>5.9</v>
      </c>
      <c r="N29" s="11">
        <v>5.0999999999999996</v>
      </c>
      <c r="O29" s="11">
        <v>4.9000000000000004</v>
      </c>
      <c r="P29" s="11">
        <v>4.9000000000000004</v>
      </c>
      <c r="Q29" s="11">
        <v>4.9000000000000004</v>
      </c>
      <c r="R29" s="11">
        <v>4.9000000000000004</v>
      </c>
      <c r="S29" s="11">
        <v>5.5</v>
      </c>
      <c r="T29" s="11">
        <v>6.1</v>
      </c>
      <c r="U29" s="11">
        <v>6</v>
      </c>
      <c r="V29" s="11">
        <v>6.6</v>
      </c>
      <c r="W29" s="34"/>
    </row>
    <row r="30" spans="3:23" x14ac:dyDescent="0.2">
      <c r="C30" s="9" t="s">
        <v>62</v>
      </c>
      <c r="D30" s="126">
        <v>15.5</v>
      </c>
      <c r="E30" s="134">
        <v>24.7</v>
      </c>
      <c r="F30" s="134">
        <v>18.100000000000001</v>
      </c>
      <c r="G30" s="11">
        <v>14.4</v>
      </c>
      <c r="H30" s="11">
        <v>13</v>
      </c>
      <c r="I30" s="11">
        <v>15.9</v>
      </c>
      <c r="J30" s="11">
        <v>19.100000000000001</v>
      </c>
      <c r="K30" s="11">
        <v>16.600000000000001</v>
      </c>
      <c r="L30" s="11">
        <v>15.7</v>
      </c>
      <c r="M30" s="11">
        <v>21</v>
      </c>
      <c r="N30" s="11">
        <v>23.3</v>
      </c>
      <c r="O30" s="11">
        <v>23.1</v>
      </c>
      <c r="P30" s="11">
        <v>23.1</v>
      </c>
      <c r="Q30" s="11">
        <v>23.1</v>
      </c>
      <c r="R30" s="11">
        <v>23.1</v>
      </c>
      <c r="S30" s="11">
        <v>15.2</v>
      </c>
      <c r="T30" s="11">
        <v>7.7</v>
      </c>
      <c r="U30" s="11">
        <v>6.6</v>
      </c>
      <c r="V30" s="11">
        <v>5.4</v>
      </c>
      <c r="W30" s="34"/>
    </row>
    <row r="31" spans="3:23" x14ac:dyDescent="0.2"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34"/>
    </row>
    <row r="32" spans="3:23" x14ac:dyDescent="0.2"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34"/>
    </row>
    <row r="33" spans="3:23" x14ac:dyDescent="0.2">
      <c r="C33" s="8" t="s">
        <v>63</v>
      </c>
      <c r="W33" s="34"/>
    </row>
    <row r="34" spans="3:23" x14ac:dyDescent="0.2">
      <c r="C34" s="2" t="s">
        <v>64</v>
      </c>
      <c r="D34" s="126">
        <v>66.599999999999994</v>
      </c>
      <c r="E34" s="126">
        <v>51</v>
      </c>
      <c r="F34" s="59">
        <v>63.3</v>
      </c>
      <c r="G34" s="11">
        <v>66.400000000000006</v>
      </c>
      <c r="H34" s="11">
        <v>68.400000000000006</v>
      </c>
      <c r="I34" s="11">
        <v>69.099999999999994</v>
      </c>
      <c r="J34" s="11">
        <v>69.900000000000006</v>
      </c>
      <c r="K34" s="11">
        <v>71.8</v>
      </c>
      <c r="L34" s="11">
        <v>72</v>
      </c>
      <c r="M34" s="11">
        <v>70.3</v>
      </c>
      <c r="N34" s="11">
        <v>69.099999999999994</v>
      </c>
      <c r="O34" s="11">
        <v>69.900000000000006</v>
      </c>
      <c r="P34" s="11">
        <v>69.900000000000006</v>
      </c>
      <c r="Q34" s="11">
        <v>69.900000000000006</v>
      </c>
      <c r="R34" s="11">
        <v>69.900000000000006</v>
      </c>
      <c r="S34" s="11">
        <v>73.2</v>
      </c>
      <c r="T34" s="11">
        <v>76.8</v>
      </c>
      <c r="U34" s="11">
        <v>78.7</v>
      </c>
      <c r="V34" s="11">
        <v>79.400000000000006</v>
      </c>
      <c r="W34" s="34"/>
    </row>
    <row r="35" spans="3:23" x14ac:dyDescent="0.2">
      <c r="C35" s="2" t="s">
        <v>65</v>
      </c>
      <c r="D35" s="126">
        <v>5.5</v>
      </c>
      <c r="E35" s="126">
        <v>7.3</v>
      </c>
      <c r="F35" s="59">
        <v>7.2</v>
      </c>
      <c r="G35" s="11">
        <v>7.2</v>
      </c>
      <c r="H35" s="11">
        <v>6.2</v>
      </c>
      <c r="I35" s="11">
        <v>5.7</v>
      </c>
      <c r="J35" s="11">
        <v>5.8</v>
      </c>
      <c r="K35" s="11">
        <v>5.9</v>
      </c>
      <c r="L35" s="11">
        <v>6.4</v>
      </c>
      <c r="M35" s="11">
        <v>5.7</v>
      </c>
      <c r="N35" s="11">
        <v>5</v>
      </c>
      <c r="O35" s="11">
        <v>4.8</v>
      </c>
      <c r="P35" s="11">
        <v>4.8</v>
      </c>
      <c r="Q35" s="11">
        <v>4.8</v>
      </c>
      <c r="R35" s="11">
        <v>4.8</v>
      </c>
      <c r="S35" s="11">
        <v>5.5</v>
      </c>
      <c r="T35" s="11">
        <v>5.6</v>
      </c>
      <c r="U35" s="11">
        <v>5.9</v>
      </c>
      <c r="V35" s="11">
        <v>6.2</v>
      </c>
    </row>
    <row r="36" spans="3:23" x14ac:dyDescent="0.2">
      <c r="C36" s="9" t="s">
        <v>66</v>
      </c>
      <c r="D36" s="126">
        <v>8.1999999999999993</v>
      </c>
      <c r="E36" s="126">
        <v>12.1</v>
      </c>
      <c r="F36" s="59">
        <v>8.1999999999999993</v>
      </c>
      <c r="G36" s="11">
        <v>9.3000000000000007</v>
      </c>
      <c r="H36" s="11">
        <v>9.1</v>
      </c>
      <c r="I36" s="11">
        <v>9.6999999999999993</v>
      </c>
      <c r="J36" s="11">
        <v>8.1</v>
      </c>
      <c r="K36" s="11">
        <v>7.8</v>
      </c>
      <c r="L36" s="11">
        <v>7.4</v>
      </c>
      <c r="M36" s="11">
        <v>6.2</v>
      </c>
      <c r="N36" s="11">
        <v>5.0999999999999996</v>
      </c>
      <c r="O36" s="11">
        <v>5.3</v>
      </c>
      <c r="P36" s="11">
        <v>5.3</v>
      </c>
      <c r="Q36" s="11">
        <v>5.3</v>
      </c>
      <c r="R36" s="11">
        <v>5.3</v>
      </c>
      <c r="S36" s="11">
        <v>5.6</v>
      </c>
      <c r="T36" s="11">
        <v>6</v>
      </c>
      <c r="U36" s="11">
        <v>5.6</v>
      </c>
      <c r="V36" s="11">
        <v>5.7</v>
      </c>
    </row>
    <row r="37" spans="3:23" x14ac:dyDescent="0.2">
      <c r="C37" s="9" t="s">
        <v>67</v>
      </c>
      <c r="D37" s="126">
        <v>7.1</v>
      </c>
      <c r="E37" s="126">
        <v>7.3</v>
      </c>
      <c r="F37" s="59">
        <v>7.6</v>
      </c>
      <c r="G37" s="11">
        <v>6.9</v>
      </c>
      <c r="H37" s="11">
        <v>6.1</v>
      </c>
      <c r="I37" s="11">
        <v>5.4</v>
      </c>
      <c r="J37" s="11">
        <v>5.7</v>
      </c>
      <c r="K37" s="11">
        <v>5.7</v>
      </c>
      <c r="L37" s="11">
        <v>5.6</v>
      </c>
      <c r="M37" s="11">
        <v>4.5999999999999996</v>
      </c>
      <c r="N37" s="11">
        <v>3.8</v>
      </c>
      <c r="O37" s="11">
        <v>3.6</v>
      </c>
      <c r="P37" s="11">
        <v>3.6</v>
      </c>
      <c r="Q37" s="11">
        <v>3.6</v>
      </c>
      <c r="R37" s="11">
        <v>3.6</v>
      </c>
      <c r="S37" s="11">
        <v>4</v>
      </c>
      <c r="T37" s="11">
        <v>4.3</v>
      </c>
      <c r="U37" s="11">
        <v>3.6</v>
      </c>
      <c r="V37" s="11">
        <v>3.5</v>
      </c>
      <c r="W37" s="33"/>
    </row>
    <row r="38" spans="3:23" x14ac:dyDescent="0.2">
      <c r="C38" s="2" t="s">
        <v>62</v>
      </c>
      <c r="D38" s="126">
        <v>2.6</v>
      </c>
      <c r="E38" s="126">
        <v>2.2999999999999998</v>
      </c>
      <c r="F38" s="59">
        <v>2.6</v>
      </c>
      <c r="G38" s="11">
        <v>3.4</v>
      </c>
      <c r="H38" s="11">
        <v>4.2</v>
      </c>
      <c r="I38" s="11">
        <v>3.2</v>
      </c>
      <c r="J38" s="11">
        <v>3.4</v>
      </c>
      <c r="K38" s="11">
        <v>3.5</v>
      </c>
      <c r="L38" s="11">
        <v>3.8</v>
      </c>
      <c r="M38" s="11">
        <v>5.5</v>
      </c>
      <c r="N38" s="11">
        <v>8.4</v>
      </c>
      <c r="O38" s="11">
        <v>7.8</v>
      </c>
      <c r="P38" s="11">
        <v>7.8</v>
      </c>
      <c r="Q38" s="11">
        <v>7.8</v>
      </c>
      <c r="R38" s="11">
        <v>7.8</v>
      </c>
      <c r="S38" s="11">
        <v>6.4</v>
      </c>
      <c r="T38" s="11">
        <v>4</v>
      </c>
      <c r="U38" s="11">
        <v>4</v>
      </c>
      <c r="V38" s="11">
        <v>3.6</v>
      </c>
      <c r="W38" s="33"/>
    </row>
    <row r="39" spans="3:23" x14ac:dyDescent="0.2">
      <c r="C39" s="2" t="s">
        <v>55</v>
      </c>
      <c r="D39" s="126">
        <v>10</v>
      </c>
      <c r="E39" s="126">
        <v>20</v>
      </c>
      <c r="F39" s="59">
        <v>11.2</v>
      </c>
      <c r="G39" s="11">
        <v>6.9</v>
      </c>
      <c r="H39" s="11">
        <v>5.9</v>
      </c>
      <c r="I39" s="11">
        <v>6.9</v>
      </c>
      <c r="J39" s="11">
        <v>7.1</v>
      </c>
      <c r="K39" s="11">
        <v>5.3</v>
      </c>
      <c r="L39" s="11">
        <v>4.8</v>
      </c>
      <c r="M39" s="11">
        <v>7.7</v>
      </c>
      <c r="N39" s="11">
        <v>8.6</v>
      </c>
      <c r="O39" s="11">
        <v>8.6</v>
      </c>
      <c r="P39" s="11">
        <v>8.6</v>
      </c>
      <c r="Q39" s="11">
        <v>8.6</v>
      </c>
      <c r="R39" s="11">
        <v>8.6</v>
      </c>
      <c r="S39" s="11">
        <v>5.3</v>
      </c>
      <c r="T39" s="11">
        <v>3.3000000000000114</v>
      </c>
      <c r="U39" s="11">
        <v>2.2000000000000028</v>
      </c>
      <c r="V39" s="11">
        <v>1.6</v>
      </c>
      <c r="W39" s="33"/>
    </row>
    <row r="40" spans="3:23" ht="14.25" x14ac:dyDescent="0.2">
      <c r="D40" s="33"/>
      <c r="E40" s="33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33"/>
    </row>
    <row r="41" spans="3:23" ht="14.25" x14ac:dyDescent="0.2">
      <c r="C41" s="8" t="s">
        <v>68</v>
      </c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3"/>
    </row>
    <row r="42" spans="3:23" x14ac:dyDescent="0.2">
      <c r="C42" s="2" t="s">
        <v>69</v>
      </c>
      <c r="D42" s="65">
        <v>45</v>
      </c>
      <c r="E42" s="134">
        <v>34.979999999999997</v>
      </c>
      <c r="F42" s="134">
        <v>44.69</v>
      </c>
      <c r="G42" s="134">
        <v>45.82</v>
      </c>
      <c r="H42" s="134">
        <v>47.2</v>
      </c>
      <c r="I42" s="134">
        <v>43</v>
      </c>
      <c r="J42" s="134">
        <v>41.4</v>
      </c>
      <c r="K42" s="134">
        <v>44.9</v>
      </c>
      <c r="L42" s="134">
        <v>45.3</v>
      </c>
      <c r="M42" s="134">
        <v>43.8</v>
      </c>
      <c r="N42" s="134">
        <v>43.9</v>
      </c>
      <c r="O42" s="134">
        <v>42.4</v>
      </c>
      <c r="P42" s="134">
        <v>42.4</v>
      </c>
      <c r="Q42" s="134">
        <v>42.4</v>
      </c>
      <c r="R42" s="134">
        <v>42.4</v>
      </c>
      <c r="S42" s="134">
        <v>45</v>
      </c>
      <c r="T42" s="134">
        <v>48.8</v>
      </c>
      <c r="U42" s="134">
        <v>51.4</v>
      </c>
      <c r="V42" s="134">
        <v>53.1</v>
      </c>
      <c r="W42" s="33"/>
    </row>
    <row r="43" spans="3:23" x14ac:dyDescent="0.2">
      <c r="C43" s="2" t="s">
        <v>70</v>
      </c>
      <c r="D43" s="126">
        <v>12.6</v>
      </c>
      <c r="E43" s="134">
        <v>11.2</v>
      </c>
      <c r="F43" s="134">
        <v>12.65</v>
      </c>
      <c r="G43" s="134">
        <v>13.52</v>
      </c>
      <c r="H43" s="134">
        <v>13.8</v>
      </c>
      <c r="I43" s="134">
        <v>13.4</v>
      </c>
      <c r="J43" s="134">
        <v>12.8</v>
      </c>
      <c r="K43" s="134">
        <v>13.4</v>
      </c>
      <c r="L43" s="134">
        <v>14.3</v>
      </c>
      <c r="M43" s="134">
        <v>13.4</v>
      </c>
      <c r="N43" s="134">
        <v>12.5</v>
      </c>
      <c r="O43" s="134">
        <v>12.8</v>
      </c>
      <c r="P43" s="134">
        <v>12.8</v>
      </c>
      <c r="Q43" s="134">
        <v>12.8</v>
      </c>
      <c r="R43" s="134">
        <v>12.8</v>
      </c>
      <c r="S43" s="134">
        <v>14</v>
      </c>
      <c r="T43" s="134">
        <v>14.8</v>
      </c>
      <c r="U43" s="134">
        <v>14.5</v>
      </c>
      <c r="V43" s="134">
        <v>14.2</v>
      </c>
    </row>
    <row r="44" spans="3:23" x14ac:dyDescent="0.2">
      <c r="C44" s="2" t="s">
        <v>71</v>
      </c>
      <c r="D44" s="126">
        <v>28</v>
      </c>
      <c r="E44" s="134">
        <v>30.62</v>
      </c>
      <c r="F44" s="134">
        <v>27.5</v>
      </c>
      <c r="G44" s="134">
        <v>29.21</v>
      </c>
      <c r="H44" s="134">
        <v>29.5</v>
      </c>
      <c r="I44" s="134">
        <v>30.5</v>
      </c>
      <c r="J44" s="134">
        <v>28.9</v>
      </c>
      <c r="K44" s="134">
        <v>28.8</v>
      </c>
      <c r="L44" s="134">
        <v>29.5</v>
      </c>
      <c r="M44" s="134">
        <v>27.7</v>
      </c>
      <c r="N44" s="134">
        <v>25.8</v>
      </c>
      <c r="O44" s="134">
        <v>27.1</v>
      </c>
      <c r="P44" s="134">
        <v>27.1</v>
      </c>
      <c r="Q44" s="134">
        <v>27.1</v>
      </c>
      <c r="R44" s="134">
        <v>27.1</v>
      </c>
      <c r="S44" s="134">
        <v>30</v>
      </c>
      <c r="T44" s="134">
        <v>30.6</v>
      </c>
      <c r="U44" s="134">
        <v>28.9</v>
      </c>
      <c r="V44" s="134">
        <v>28.2</v>
      </c>
      <c r="W44" s="33"/>
    </row>
    <row r="45" spans="3:23" x14ac:dyDescent="0.2">
      <c r="C45" s="2" t="s">
        <v>55</v>
      </c>
      <c r="D45" s="65">
        <v>14.4</v>
      </c>
      <c r="E45" s="134">
        <v>23.2</v>
      </c>
      <c r="F45" s="134">
        <v>15.15</v>
      </c>
      <c r="G45" s="134">
        <v>11.45</v>
      </c>
      <c r="H45" s="134">
        <v>9.5</v>
      </c>
      <c r="I45" s="134">
        <v>13.1</v>
      </c>
      <c r="J45" s="134">
        <v>16.899999999999999</v>
      </c>
      <c r="K45" s="134">
        <v>12.9</v>
      </c>
      <c r="L45" s="134">
        <v>10.9</v>
      </c>
      <c r="M45" s="134">
        <v>15.1</v>
      </c>
      <c r="N45" s="134">
        <v>17.8</v>
      </c>
      <c r="O45" s="134">
        <v>17.7</v>
      </c>
      <c r="P45" s="134">
        <v>17.7</v>
      </c>
      <c r="Q45" s="134">
        <v>17.7</v>
      </c>
      <c r="R45" s="134">
        <v>17.7</v>
      </c>
      <c r="S45" s="134">
        <v>11</v>
      </c>
      <c r="T45" s="134">
        <v>5.8</v>
      </c>
      <c r="U45" s="134">
        <v>5.2</v>
      </c>
      <c r="V45" s="134">
        <v>4.5</v>
      </c>
      <c r="W45" s="33"/>
    </row>
    <row r="46" spans="3:23" x14ac:dyDescent="0.2">
      <c r="D46" s="171"/>
      <c r="E46" s="171"/>
      <c r="F46" s="17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33"/>
    </row>
    <row r="47" spans="3:23" x14ac:dyDescent="0.2">
      <c r="C47" s="8" t="s">
        <v>72</v>
      </c>
      <c r="W47" s="33"/>
    </row>
    <row r="48" spans="3:23" x14ac:dyDescent="0.2">
      <c r="C48" s="9" t="s">
        <v>73</v>
      </c>
      <c r="D48" s="126">
        <v>50.5</v>
      </c>
      <c r="E48" s="126">
        <v>43.5</v>
      </c>
      <c r="F48" s="134">
        <v>54.8</v>
      </c>
      <c r="G48" s="11">
        <v>52.7</v>
      </c>
      <c r="H48" s="2">
        <v>51.5</v>
      </c>
      <c r="I48" s="11">
        <v>49.8</v>
      </c>
      <c r="J48" s="11">
        <v>49.7</v>
      </c>
      <c r="K48" s="11">
        <v>50.1</v>
      </c>
      <c r="L48" s="11">
        <v>49.1</v>
      </c>
      <c r="M48" s="11">
        <v>46.5</v>
      </c>
      <c r="N48" s="11">
        <v>44.2</v>
      </c>
      <c r="O48" s="11">
        <v>44.1</v>
      </c>
      <c r="P48" s="11">
        <v>44.1</v>
      </c>
      <c r="Q48" s="11">
        <v>44.1</v>
      </c>
      <c r="R48" s="11">
        <v>44.1</v>
      </c>
      <c r="S48" s="11">
        <v>46.7</v>
      </c>
      <c r="T48" s="11">
        <v>42.9</v>
      </c>
      <c r="U48" s="11">
        <v>48</v>
      </c>
      <c r="V48" s="11">
        <v>49.1</v>
      </c>
      <c r="W48" s="33"/>
    </row>
    <row r="49" spans="2:23" x14ac:dyDescent="0.2">
      <c r="C49" s="9" t="s">
        <v>74</v>
      </c>
      <c r="D49" s="126">
        <v>23.3</v>
      </c>
      <c r="E49" s="126">
        <v>17.8</v>
      </c>
      <c r="F49" s="134">
        <v>20.100000000000001</v>
      </c>
      <c r="G49" s="11">
        <v>22.1</v>
      </c>
      <c r="H49" s="11">
        <v>24</v>
      </c>
      <c r="I49" s="11">
        <v>24</v>
      </c>
      <c r="J49" s="11">
        <v>23.6</v>
      </c>
      <c r="K49" s="11">
        <v>24.5</v>
      </c>
      <c r="L49" s="11">
        <v>26.7</v>
      </c>
      <c r="M49" s="11">
        <v>28.2</v>
      </c>
      <c r="N49" s="11">
        <v>30.9</v>
      </c>
      <c r="O49" s="11">
        <v>30</v>
      </c>
      <c r="P49" s="11">
        <v>30</v>
      </c>
      <c r="Q49" s="11">
        <v>30</v>
      </c>
      <c r="R49" s="11">
        <v>30</v>
      </c>
      <c r="S49" s="11">
        <v>28.8</v>
      </c>
      <c r="T49" s="11">
        <v>28.3</v>
      </c>
      <c r="U49" s="11">
        <v>29.7</v>
      </c>
      <c r="V49" s="11">
        <v>31.1</v>
      </c>
      <c r="W49" s="33"/>
    </row>
    <row r="50" spans="2:23" x14ac:dyDescent="0.2">
      <c r="C50" s="2" t="s">
        <v>75</v>
      </c>
      <c r="D50" s="126">
        <v>15.7</v>
      </c>
      <c r="E50" s="126">
        <v>21.9</v>
      </c>
      <c r="F50" s="134">
        <v>14.8</v>
      </c>
      <c r="G50" s="11">
        <v>15.9</v>
      </c>
      <c r="H50" s="2">
        <v>15.9</v>
      </c>
      <c r="I50" s="11">
        <v>16.5</v>
      </c>
      <c r="J50" s="11">
        <v>15.8</v>
      </c>
      <c r="K50" s="11">
        <v>15.7</v>
      </c>
      <c r="L50" s="11">
        <v>15</v>
      </c>
      <c r="M50" s="11">
        <v>13.4</v>
      </c>
      <c r="N50" s="11">
        <v>13.1</v>
      </c>
      <c r="O50" s="11">
        <v>13.4</v>
      </c>
      <c r="P50" s="11">
        <v>13.4</v>
      </c>
      <c r="Q50" s="11">
        <v>13.4</v>
      </c>
      <c r="R50" s="11">
        <v>13.4</v>
      </c>
      <c r="S50" s="11">
        <v>14.5</v>
      </c>
      <c r="T50" s="11">
        <v>15</v>
      </c>
      <c r="U50" s="11">
        <v>14.7</v>
      </c>
      <c r="V50" s="11">
        <v>15.2</v>
      </c>
    </row>
    <row r="51" spans="2:23" x14ac:dyDescent="0.2">
      <c r="C51" s="9" t="s">
        <v>76</v>
      </c>
      <c r="D51" s="126">
        <v>4.0999999999999996</v>
      </c>
      <c r="E51" s="126">
        <v>4.2</v>
      </c>
      <c r="F51" s="134">
        <v>4.2</v>
      </c>
      <c r="G51" s="11">
        <v>3.9</v>
      </c>
      <c r="H51" s="2">
        <v>4.5</v>
      </c>
      <c r="I51" s="11">
        <v>5.0999999999999996</v>
      </c>
      <c r="J51" s="11">
        <v>4.7</v>
      </c>
      <c r="K51" s="11">
        <v>4.7</v>
      </c>
      <c r="L51" s="11">
        <v>4</v>
      </c>
      <c r="M51" s="11">
        <v>3.8</v>
      </c>
      <c r="N51" s="11">
        <v>3.9</v>
      </c>
      <c r="O51" s="11">
        <v>3.5</v>
      </c>
      <c r="P51" s="11">
        <v>3.5</v>
      </c>
      <c r="Q51" s="11">
        <v>3.5</v>
      </c>
      <c r="R51" s="11">
        <v>3.5</v>
      </c>
      <c r="S51" s="11">
        <v>2.4</v>
      </c>
      <c r="T51" s="11">
        <v>1.5</v>
      </c>
      <c r="U51" s="11">
        <v>1.2</v>
      </c>
      <c r="V51" s="11">
        <v>1.2</v>
      </c>
    </row>
    <row r="52" spans="2:23" x14ac:dyDescent="0.2">
      <c r="C52" s="9" t="s">
        <v>55</v>
      </c>
      <c r="D52" s="126">
        <v>6.5</v>
      </c>
      <c r="E52" s="126">
        <v>12.6</v>
      </c>
      <c r="F52" s="134">
        <v>6.1</v>
      </c>
      <c r="G52" s="11">
        <v>5.4</v>
      </c>
      <c r="H52" s="2">
        <v>4.2</v>
      </c>
      <c r="I52" s="11">
        <v>4.5999999999999996</v>
      </c>
      <c r="J52" s="11">
        <v>6.2</v>
      </c>
      <c r="K52" s="11">
        <v>5</v>
      </c>
      <c r="L52" s="11">
        <v>5.2</v>
      </c>
      <c r="M52" s="11">
        <v>8.1</v>
      </c>
      <c r="N52" s="11">
        <v>7.9</v>
      </c>
      <c r="O52" s="11">
        <v>9</v>
      </c>
      <c r="P52" s="11">
        <v>9</v>
      </c>
      <c r="Q52" s="11">
        <v>9</v>
      </c>
      <c r="R52" s="11">
        <v>9</v>
      </c>
      <c r="S52" s="11">
        <v>7.6</v>
      </c>
      <c r="T52" s="11">
        <v>12.3</v>
      </c>
      <c r="U52" s="11">
        <v>6.4</v>
      </c>
      <c r="V52" s="11">
        <v>3.4</v>
      </c>
      <c r="W52" s="35"/>
    </row>
    <row r="53" spans="2:23" x14ac:dyDescent="0.2">
      <c r="B53" s="1"/>
      <c r="C53" s="51"/>
      <c r="D53" s="172"/>
      <c r="E53" s="172"/>
      <c r="F53" s="173"/>
      <c r="G53" s="173"/>
      <c r="H53" s="173"/>
      <c r="I53" s="173"/>
      <c r="J53" s="173"/>
      <c r="K53" s="173"/>
      <c r="L53" s="173"/>
      <c r="M53" s="173"/>
      <c r="N53" s="51"/>
      <c r="O53" s="51"/>
      <c r="P53" s="51"/>
      <c r="Q53" s="51"/>
      <c r="R53" s="51"/>
      <c r="S53" s="51"/>
      <c r="T53" s="51"/>
      <c r="U53" s="51"/>
      <c r="V53" s="51"/>
      <c r="W53" s="35"/>
    </row>
    <row r="54" spans="2:23" x14ac:dyDescent="0.2">
      <c r="G54" s="11"/>
      <c r="H54" s="11"/>
      <c r="I54" s="11"/>
      <c r="J54" s="11"/>
      <c r="K54" s="11"/>
      <c r="L54" s="11"/>
      <c r="W54" s="35"/>
    </row>
    <row r="55" spans="2:23" x14ac:dyDescent="0.2">
      <c r="C55" s="20" t="s">
        <v>96</v>
      </c>
      <c r="W55" s="35"/>
    </row>
    <row r="56" spans="2:23" x14ac:dyDescent="0.2">
      <c r="C56" s="36"/>
    </row>
    <row r="57" spans="2:23" x14ac:dyDescent="0.2">
      <c r="C57" s="20"/>
    </row>
    <row r="58" spans="2:23" x14ac:dyDescent="0.2">
      <c r="C58" s="36"/>
      <c r="W58" s="35"/>
    </row>
    <row r="59" spans="2:23" x14ac:dyDescent="0.2">
      <c r="C59" s="36"/>
      <c r="I59" s="11"/>
      <c r="J59" s="11"/>
      <c r="K59" s="11"/>
      <c r="L59" s="11"/>
      <c r="M59" s="11"/>
      <c r="N59" s="11"/>
      <c r="O59" s="11"/>
      <c r="W59" s="35"/>
    </row>
    <row r="60" spans="2:23" x14ac:dyDescent="0.2">
      <c r="C60" s="36"/>
      <c r="I60" s="11"/>
      <c r="J60" s="11"/>
      <c r="K60" s="11"/>
      <c r="L60" s="11"/>
      <c r="M60" s="11"/>
      <c r="N60" s="11"/>
      <c r="O60" s="11"/>
      <c r="W60" s="35"/>
    </row>
    <row r="61" spans="2:23" ht="14.25" x14ac:dyDescent="0.2">
      <c r="B61" s="32"/>
      <c r="I61" s="11"/>
      <c r="J61" s="11"/>
      <c r="K61" s="11"/>
      <c r="L61" s="11"/>
      <c r="M61" s="11"/>
      <c r="N61" s="11"/>
      <c r="O61" s="11"/>
      <c r="W61" s="35"/>
    </row>
    <row r="62" spans="2:23" ht="14.25" x14ac:dyDescent="0.2">
      <c r="B62" s="32"/>
      <c r="I62" s="11"/>
      <c r="J62" s="11"/>
      <c r="K62" s="11"/>
      <c r="L62" s="11"/>
      <c r="M62" s="11"/>
      <c r="N62" s="11"/>
      <c r="O62" s="11"/>
    </row>
    <row r="63" spans="2:23" ht="14.25" x14ac:dyDescent="0.2">
      <c r="B63" s="32"/>
      <c r="I63" s="11"/>
      <c r="J63" s="11"/>
      <c r="K63" s="11"/>
      <c r="L63" s="11"/>
      <c r="M63" s="11"/>
      <c r="N63" s="11"/>
      <c r="O63" s="11"/>
    </row>
    <row r="64" spans="2:23" ht="14.25" customHeight="1" x14ac:dyDescent="0.2">
      <c r="C64" s="25"/>
      <c r="I64" s="11"/>
      <c r="J64" s="11"/>
      <c r="K64" s="11"/>
      <c r="L64" s="11"/>
      <c r="M64" s="11"/>
      <c r="N64" s="11"/>
      <c r="O64" s="11"/>
    </row>
    <row r="65" spans="2:23" ht="20.25" customHeight="1" x14ac:dyDescent="0.2">
      <c r="B65" s="25"/>
      <c r="C65" s="25"/>
    </row>
    <row r="66" spans="2:23" x14ac:dyDescent="0.2">
      <c r="B66" s="211"/>
      <c r="C66" s="211"/>
      <c r="D66" s="211"/>
      <c r="E66" s="211"/>
      <c r="F66" s="211"/>
      <c r="G66" s="211"/>
      <c r="H66" s="211"/>
      <c r="I66" s="49"/>
      <c r="U66" s="35"/>
      <c r="V66" s="35"/>
      <c r="W66" s="35"/>
    </row>
    <row r="67" spans="2:23" x14ac:dyDescent="0.2">
      <c r="U67" s="35"/>
      <c r="V67" s="35"/>
      <c r="W67" s="35"/>
    </row>
    <row r="68" spans="2:23" x14ac:dyDescent="0.2">
      <c r="U68" s="35"/>
      <c r="V68" s="35"/>
      <c r="W68" s="35"/>
    </row>
    <row r="69" spans="2:23" x14ac:dyDescent="0.2">
      <c r="U69" s="35"/>
      <c r="V69" s="35"/>
      <c r="W69" s="35"/>
    </row>
    <row r="70" spans="2:23" x14ac:dyDescent="0.2">
      <c r="U70" s="35"/>
      <c r="V70" s="35"/>
      <c r="W70" s="35"/>
    </row>
    <row r="72" spans="2:23" x14ac:dyDescent="0.2">
      <c r="U72" s="34"/>
      <c r="V72" s="34"/>
      <c r="W72" s="34"/>
    </row>
    <row r="73" spans="2:23" x14ac:dyDescent="0.2">
      <c r="U73" s="34"/>
      <c r="V73" s="34"/>
      <c r="W73" s="34"/>
    </row>
    <row r="74" spans="2:23" x14ac:dyDescent="0.2">
      <c r="U74" s="34"/>
      <c r="V74" s="34"/>
      <c r="W74" s="34"/>
    </row>
    <row r="75" spans="2:23" x14ac:dyDescent="0.2">
      <c r="U75" s="34"/>
      <c r="V75" s="34"/>
      <c r="W75" s="34"/>
    </row>
    <row r="82" spans="21:23" x14ac:dyDescent="0.2">
      <c r="U82" s="35"/>
      <c r="V82" s="35"/>
      <c r="W82" s="35"/>
    </row>
    <row r="83" spans="21:23" x14ac:dyDescent="0.2">
      <c r="U83" s="35"/>
      <c r="V83" s="35"/>
      <c r="W83" s="35"/>
    </row>
    <row r="84" spans="21:23" x14ac:dyDescent="0.2">
      <c r="U84" s="35"/>
      <c r="V84" s="35"/>
      <c r="W84" s="35"/>
    </row>
    <row r="85" spans="21:23" x14ac:dyDescent="0.2">
      <c r="U85" s="35"/>
      <c r="V85" s="35"/>
      <c r="W85" s="35"/>
    </row>
    <row r="86" spans="21:23" x14ac:dyDescent="0.2">
      <c r="U86" s="35"/>
      <c r="V86" s="35"/>
      <c r="W86" s="35"/>
    </row>
    <row r="87" spans="21:23" x14ac:dyDescent="0.2">
      <c r="U87" s="35"/>
      <c r="V87" s="35"/>
      <c r="W87" s="35"/>
    </row>
    <row r="90" spans="21:23" x14ac:dyDescent="0.2">
      <c r="U90" s="34"/>
      <c r="V90" s="34"/>
      <c r="W90" s="34"/>
    </row>
    <row r="91" spans="21:23" x14ac:dyDescent="0.2">
      <c r="U91" s="34"/>
      <c r="V91" s="34"/>
      <c r="W91" s="34"/>
    </row>
    <row r="92" spans="21:23" x14ac:dyDescent="0.2">
      <c r="U92" s="34"/>
      <c r="V92" s="34"/>
      <c r="W92" s="34"/>
    </row>
    <row r="93" spans="21:23" x14ac:dyDescent="0.2">
      <c r="U93" s="34"/>
      <c r="V93" s="34"/>
      <c r="W93" s="34"/>
    </row>
    <row r="94" spans="21:23" x14ac:dyDescent="0.2">
      <c r="U94" s="34"/>
      <c r="V94" s="34"/>
      <c r="W94" s="34"/>
    </row>
  </sheetData>
  <mergeCells count="2">
    <mergeCell ref="B66:H66"/>
    <mergeCell ref="C8:T8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95250</xdr:colOff>
                <xdr:row>0</xdr:row>
                <xdr:rowOff>104775</xdr:rowOff>
              </from>
              <to>
                <xdr:col>2</xdr:col>
                <xdr:colOff>38100</xdr:colOff>
                <xdr:row>3</xdr:row>
                <xdr:rowOff>66675</xdr:rowOff>
              </to>
            </anchor>
          </objectPr>
        </oleObject>
      </mc:Choice>
      <mc:Fallback>
        <oleObject progId="MSPhotoEd.3" shapeId="5121" r:id="rId4"/>
      </mc:Fallback>
    </mc:AlternateContent>
    <mc:AlternateContent xmlns:mc="http://schemas.openxmlformats.org/markup-compatibility/2006">
      <mc:Choice Requires="x14">
        <oleObject progId="MSPhotoEd.3" shapeId="5122" r:id="rId6">
          <objectPr defaultSize="0" autoPict="0" r:id="rId5">
            <anchor moveWithCells="1" sizeWithCells="1">
              <from>
                <xdr:col>0</xdr:col>
                <xdr:colOff>95250</xdr:colOff>
                <xdr:row>0</xdr:row>
                <xdr:rowOff>104775</xdr:rowOff>
              </from>
              <to>
                <xdr:col>2</xdr:col>
                <xdr:colOff>38100</xdr:colOff>
                <xdr:row>3</xdr:row>
                <xdr:rowOff>66675</xdr:rowOff>
              </to>
            </anchor>
          </objectPr>
        </oleObject>
      </mc:Choice>
      <mc:Fallback>
        <oleObject progId="MSPhotoEd.3" shapeId="5122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B3:H56"/>
  <sheetViews>
    <sheetView showOutlineSymbols="0" zoomScaleNormal="100" zoomScaleSheetLayoutView="100" workbookViewId="0">
      <selection activeCell="K4" sqref="K4"/>
    </sheetView>
  </sheetViews>
  <sheetFormatPr defaultColWidth="9.140625" defaultRowHeight="12.75" x14ac:dyDescent="0.2"/>
  <cols>
    <col min="1" max="1" width="9.140625" style="2" customWidth="1"/>
    <col min="2" max="2" width="8.85546875" style="2" customWidth="1"/>
    <col min="3" max="3" width="9.42578125" style="2" customWidth="1"/>
    <col min="4" max="4" width="14.85546875" style="2" customWidth="1"/>
    <col min="5" max="5" width="12.42578125" style="2" customWidth="1"/>
    <col min="6" max="6" width="13.85546875" style="2" customWidth="1"/>
    <col min="7" max="7" width="15" style="1" customWidth="1"/>
    <col min="8" max="8" width="17.28515625" style="2" customWidth="1"/>
    <col min="9" max="16384" width="9.140625" style="2"/>
  </cols>
  <sheetData>
    <row r="3" spans="3:8" x14ac:dyDescent="0.2">
      <c r="H3" s="8" t="s">
        <v>111</v>
      </c>
    </row>
    <row r="4" spans="3:8" ht="15" x14ac:dyDescent="0.25">
      <c r="E4" s="9"/>
      <c r="F4" s="9"/>
      <c r="G4" s="37"/>
    </row>
    <row r="8" spans="3:8" ht="15.75" customHeight="1" x14ac:dyDescent="0.25">
      <c r="C8" s="38">
        <v>15.05</v>
      </c>
      <c r="D8" s="217" t="s">
        <v>108</v>
      </c>
      <c r="E8" s="217"/>
      <c r="F8" s="217"/>
      <c r="G8" s="217"/>
      <c r="H8" s="15"/>
    </row>
    <row r="9" spans="3:8" x14ac:dyDescent="0.2">
      <c r="C9" s="39"/>
      <c r="D9" s="40"/>
      <c r="E9" s="40"/>
      <c r="F9" s="40"/>
      <c r="G9" s="40"/>
      <c r="H9" s="1"/>
    </row>
    <row r="10" spans="3:8" x14ac:dyDescent="0.2">
      <c r="C10" s="39"/>
      <c r="D10" s="174"/>
      <c r="E10" s="41"/>
      <c r="F10" s="41"/>
      <c r="G10" s="175"/>
      <c r="H10" s="1"/>
    </row>
    <row r="11" spans="3:8" ht="13.35" customHeight="1" x14ac:dyDescent="0.2">
      <c r="C11" s="39"/>
      <c r="D11" s="176"/>
      <c r="E11" s="177"/>
      <c r="F11" s="177"/>
      <c r="G11" s="178" t="s">
        <v>78</v>
      </c>
      <c r="H11" s="1"/>
    </row>
    <row r="12" spans="3:8" ht="24" customHeight="1" x14ac:dyDescent="0.2">
      <c r="C12" s="176"/>
      <c r="D12" s="179" t="s">
        <v>3</v>
      </c>
      <c r="E12" s="179" t="s">
        <v>97</v>
      </c>
      <c r="F12" s="179" t="s">
        <v>98</v>
      </c>
      <c r="G12" s="180" t="s">
        <v>32</v>
      </c>
      <c r="H12" s="42"/>
    </row>
    <row r="13" spans="3:8" x14ac:dyDescent="0.2">
      <c r="C13" s="43"/>
      <c r="D13" s="43"/>
      <c r="E13" s="181"/>
      <c r="F13" s="181"/>
      <c r="G13" s="181"/>
      <c r="H13" s="1"/>
    </row>
    <row r="14" spans="3:8" ht="12.75" hidden="1" customHeight="1" x14ac:dyDescent="0.2">
      <c r="C14" s="43"/>
      <c r="D14" s="182">
        <v>1991</v>
      </c>
      <c r="E14" s="183">
        <v>1599</v>
      </c>
      <c r="F14" s="183" t="e">
        <f>#REF!*1+#REF!*2+#REF!*3+#REF!*4</f>
        <v>#REF!</v>
      </c>
      <c r="G14" s="183" t="e">
        <f>#REF!+#REF!</f>
        <v>#REF!</v>
      </c>
      <c r="H14" s="1"/>
    </row>
    <row r="15" spans="3:8" x14ac:dyDescent="0.2">
      <c r="C15" s="184"/>
      <c r="D15" s="185">
        <v>2000</v>
      </c>
      <c r="E15" s="186">
        <f>150+2634+63</f>
        <v>2847</v>
      </c>
      <c r="F15" s="186">
        <f>59+53+2101+272+50+17</f>
        <v>2552</v>
      </c>
      <c r="G15" s="187">
        <f>SUM(E15:F15)</f>
        <v>5399</v>
      </c>
      <c r="H15" s="41"/>
    </row>
    <row r="16" spans="3:8" x14ac:dyDescent="0.2">
      <c r="C16" s="184"/>
      <c r="D16" s="185">
        <v>2001</v>
      </c>
      <c r="E16" s="186">
        <f>145+2592+75</f>
        <v>2812</v>
      </c>
      <c r="F16" s="186">
        <f>61+58+2102+311+39+26</f>
        <v>2597</v>
      </c>
      <c r="G16" s="187">
        <f t="shared" ref="G16:G26" si="0">SUM(E16:F16)</f>
        <v>5409</v>
      </c>
      <c r="H16" s="44"/>
    </row>
    <row r="17" spans="2:8" x14ac:dyDescent="0.2">
      <c r="C17" s="184"/>
      <c r="D17" s="185">
        <v>2002</v>
      </c>
      <c r="E17" s="186">
        <f>144+2493+75</f>
        <v>2712</v>
      </c>
      <c r="F17" s="186">
        <f>67+56+2084+285+57+12</f>
        <v>2561</v>
      </c>
      <c r="G17" s="187">
        <f t="shared" si="0"/>
        <v>5273</v>
      </c>
      <c r="H17" s="44"/>
    </row>
    <row r="18" spans="2:8" x14ac:dyDescent="0.2">
      <c r="C18" s="184"/>
      <c r="D18" s="185">
        <v>2003</v>
      </c>
      <c r="E18" s="186">
        <f>132+2599+75</f>
        <v>2806</v>
      </c>
      <c r="F18" s="186">
        <f>118+62+2135+346+58+12</f>
        <v>2731</v>
      </c>
      <c r="G18" s="187">
        <f t="shared" si="0"/>
        <v>5537</v>
      </c>
      <c r="H18" s="44"/>
    </row>
    <row r="19" spans="2:8" x14ac:dyDescent="0.2">
      <c r="C19" s="184"/>
      <c r="D19" s="185">
        <v>2004</v>
      </c>
      <c r="E19" s="188" t="s">
        <v>79</v>
      </c>
      <c r="F19" s="188" t="s">
        <v>79</v>
      </c>
      <c r="G19" s="188" t="s">
        <v>79</v>
      </c>
      <c r="H19" s="44"/>
    </row>
    <row r="20" spans="2:8" x14ac:dyDescent="0.2">
      <c r="C20" s="184"/>
      <c r="D20" s="185">
        <v>2005</v>
      </c>
      <c r="E20" s="188" t="s">
        <v>79</v>
      </c>
      <c r="F20" s="188" t="s">
        <v>79</v>
      </c>
      <c r="G20" s="188" t="s">
        <v>79</v>
      </c>
      <c r="H20" s="44"/>
    </row>
    <row r="21" spans="2:8" x14ac:dyDescent="0.2">
      <c r="C21" s="184"/>
      <c r="D21" s="185">
        <v>2006</v>
      </c>
      <c r="E21" s="186">
        <f>63+2122+76</f>
        <v>2261</v>
      </c>
      <c r="F21" s="186">
        <f>64+61+1767+289+25+16</f>
        <v>2222</v>
      </c>
      <c r="G21" s="187">
        <f t="shared" si="0"/>
        <v>4483</v>
      </c>
      <c r="H21" s="44"/>
    </row>
    <row r="22" spans="2:8" x14ac:dyDescent="0.2">
      <c r="C22" s="184"/>
      <c r="D22" s="185">
        <v>2007</v>
      </c>
      <c r="E22" s="189">
        <f>62+1783+11</f>
        <v>1856</v>
      </c>
      <c r="F22" s="189">
        <f>67+62+1478+307+38+15</f>
        <v>1967</v>
      </c>
      <c r="G22" s="187">
        <f t="shared" si="0"/>
        <v>3823</v>
      </c>
      <c r="H22" s="44"/>
    </row>
    <row r="23" spans="2:8" x14ac:dyDescent="0.2">
      <c r="C23" s="184"/>
      <c r="D23" s="185">
        <v>2008</v>
      </c>
      <c r="E23" s="189">
        <f>59+1883+76</f>
        <v>2018</v>
      </c>
      <c r="F23" s="189">
        <f>60+63+1955+366+42+21</f>
        <v>2507</v>
      </c>
      <c r="G23" s="187">
        <f t="shared" si="0"/>
        <v>4525</v>
      </c>
      <c r="H23" s="44"/>
    </row>
    <row r="24" spans="2:8" x14ac:dyDescent="0.2">
      <c r="C24" s="184"/>
      <c r="D24" s="185">
        <v>2009</v>
      </c>
      <c r="E24" s="189">
        <f>85+1870+76</f>
        <v>2031</v>
      </c>
      <c r="F24" s="189">
        <f>48+68+2001+355+45+15</f>
        <v>2532</v>
      </c>
      <c r="G24" s="187">
        <f t="shared" si="0"/>
        <v>4563</v>
      </c>
      <c r="H24" s="44"/>
    </row>
    <row r="25" spans="2:8" x14ac:dyDescent="0.2">
      <c r="C25" s="43"/>
      <c r="D25" s="185">
        <v>2010</v>
      </c>
      <c r="E25" s="189">
        <f>85+1870+76</f>
        <v>2031</v>
      </c>
      <c r="F25" s="189">
        <f>52+70+2019+390+45+16</f>
        <v>2592</v>
      </c>
      <c r="G25" s="187">
        <f t="shared" si="0"/>
        <v>4623</v>
      </c>
      <c r="H25" s="1"/>
    </row>
    <row r="26" spans="2:8" x14ac:dyDescent="0.2">
      <c r="C26" s="43"/>
      <c r="D26" s="185">
        <v>2011</v>
      </c>
      <c r="E26" s="189">
        <f>85+1968+77</f>
        <v>2130</v>
      </c>
      <c r="F26" s="189">
        <f>60+70+2209+444+40+21</f>
        <v>2844</v>
      </c>
      <c r="G26" s="187">
        <f t="shared" si="0"/>
        <v>4974</v>
      </c>
      <c r="H26" s="1"/>
    </row>
    <row r="27" spans="2:8" x14ac:dyDescent="0.2">
      <c r="C27" s="43"/>
      <c r="D27" s="185">
        <v>2012</v>
      </c>
      <c r="E27" s="189">
        <f>85+1968+87</f>
        <v>2140</v>
      </c>
      <c r="F27" s="189">
        <f>72+95+2180+382+32+22</f>
        <v>2783</v>
      </c>
      <c r="G27" s="187">
        <f>SUM(E27:F27)</f>
        <v>4923</v>
      </c>
      <c r="H27" s="1"/>
    </row>
    <row r="28" spans="2:8" x14ac:dyDescent="0.2">
      <c r="C28" s="43"/>
      <c r="D28" s="185">
        <v>2013</v>
      </c>
      <c r="E28" s="189">
        <v>2140</v>
      </c>
      <c r="F28" s="189">
        <v>2819</v>
      </c>
      <c r="G28" s="187">
        <f>SUM(E28:F28)</f>
        <v>4959</v>
      </c>
      <c r="H28" s="1"/>
    </row>
    <row r="29" spans="2:8" x14ac:dyDescent="0.2">
      <c r="C29" s="43"/>
      <c r="D29" s="185" t="s">
        <v>80</v>
      </c>
      <c r="E29" s="190">
        <v>2143</v>
      </c>
      <c r="F29" s="190">
        <f>2485+628+8</f>
        <v>3121</v>
      </c>
      <c r="G29" s="187">
        <f>SUM(E29:F29)</f>
        <v>5264</v>
      </c>
      <c r="H29" s="1"/>
    </row>
    <row r="30" spans="2:8" x14ac:dyDescent="0.2">
      <c r="B30" s="43"/>
      <c r="C30" s="191"/>
      <c r="D30" s="185" t="s">
        <v>95</v>
      </c>
      <c r="E30" s="190">
        <v>2165</v>
      </c>
      <c r="F30" s="190">
        <f>2470+641+8</f>
        <v>3119</v>
      </c>
      <c r="G30" s="187">
        <f>SUM(E30:F30)</f>
        <v>5284</v>
      </c>
    </row>
    <row r="31" spans="2:8" x14ac:dyDescent="0.2">
      <c r="B31" s="43"/>
      <c r="C31" s="191"/>
      <c r="D31" s="185" t="s">
        <v>99</v>
      </c>
      <c r="E31" s="190">
        <v>2446</v>
      </c>
      <c r="F31" s="190">
        <f>2625+834</f>
        <v>3459</v>
      </c>
      <c r="G31" s="187">
        <f>SUM(E31:F31)</f>
        <v>5905</v>
      </c>
    </row>
    <row r="32" spans="2:8" x14ac:dyDescent="0.2">
      <c r="B32" s="43"/>
      <c r="C32" s="191"/>
      <c r="D32" s="185" t="s">
        <v>102</v>
      </c>
      <c r="E32" s="190">
        <v>2487</v>
      </c>
      <c r="F32" s="190">
        <v>3709</v>
      </c>
      <c r="G32" s="187">
        <f>F32+E32</f>
        <v>6196</v>
      </c>
    </row>
    <row r="33" spans="2:7" x14ac:dyDescent="0.2">
      <c r="B33" s="43"/>
      <c r="C33" s="191"/>
      <c r="D33" s="185" t="s">
        <v>106</v>
      </c>
      <c r="E33" s="190">
        <v>2717</v>
      </c>
      <c r="F33" s="190">
        <f>3087+976</f>
        <v>4063</v>
      </c>
      <c r="G33" s="187">
        <f>F33+E33</f>
        <v>6780</v>
      </c>
    </row>
    <row r="34" spans="2:7" x14ac:dyDescent="0.2">
      <c r="B34" s="43"/>
      <c r="C34" s="191"/>
      <c r="D34" s="192">
        <v>2019</v>
      </c>
      <c r="E34" s="193">
        <v>2719</v>
      </c>
      <c r="F34" s="193">
        <f>1096+3283</f>
        <v>4379</v>
      </c>
      <c r="G34" s="194">
        <f>F34+E34</f>
        <v>7098</v>
      </c>
    </row>
    <row r="35" spans="2:7" x14ac:dyDescent="0.2">
      <c r="B35" s="43"/>
      <c r="C35" s="195" t="s">
        <v>81</v>
      </c>
      <c r="D35" s="176"/>
      <c r="E35" s="176"/>
      <c r="F35" s="181"/>
    </row>
    <row r="36" spans="2:7" ht="14.25" x14ac:dyDescent="0.2">
      <c r="B36" s="45"/>
      <c r="C36" s="39" t="s">
        <v>82</v>
      </c>
      <c r="D36" s="39"/>
      <c r="E36" s="39"/>
      <c r="F36" s="43"/>
    </row>
    <row r="37" spans="2:7" ht="14.25" x14ac:dyDescent="0.2">
      <c r="B37" s="45"/>
      <c r="C37" s="9" t="s">
        <v>100</v>
      </c>
      <c r="E37" s="39"/>
      <c r="F37" s="43"/>
    </row>
    <row r="38" spans="2:7" ht="14.25" x14ac:dyDescent="0.2">
      <c r="B38" s="16"/>
    </row>
    <row r="39" spans="2:7" ht="27" customHeight="1" x14ac:dyDescent="0.2">
      <c r="B39" s="46"/>
      <c r="C39" s="218" t="s">
        <v>83</v>
      </c>
      <c r="D39" s="218"/>
      <c r="E39" s="218"/>
      <c r="F39" s="218"/>
      <c r="G39" s="218"/>
    </row>
    <row r="40" spans="2:7" ht="14.25" x14ac:dyDescent="0.2">
      <c r="B40" s="31"/>
    </row>
    <row r="41" spans="2:7" x14ac:dyDescent="0.2">
      <c r="C41" s="196" t="s">
        <v>84</v>
      </c>
    </row>
    <row r="54" spans="2:8" x14ac:dyDescent="0.2">
      <c r="B54" s="25"/>
      <c r="C54" s="25"/>
      <c r="D54" s="25"/>
      <c r="E54" s="25"/>
      <c r="F54" s="25"/>
      <c r="G54" s="47"/>
    </row>
    <row r="55" spans="2:8" ht="9" customHeight="1" x14ac:dyDescent="0.2">
      <c r="B55" s="25"/>
      <c r="C55" s="25"/>
      <c r="D55" s="25"/>
      <c r="E55" s="25"/>
      <c r="F55" s="25"/>
      <c r="G55" s="47"/>
    </row>
    <row r="56" spans="2:8" x14ac:dyDescent="0.2">
      <c r="B56" s="211"/>
      <c r="C56" s="211"/>
      <c r="D56" s="211"/>
      <c r="E56" s="211"/>
      <c r="F56" s="211"/>
      <c r="G56" s="211"/>
      <c r="H56" s="26"/>
    </row>
  </sheetData>
  <mergeCells count="3">
    <mergeCell ref="D8:G8"/>
    <mergeCell ref="C39:G39"/>
    <mergeCell ref="B56:G56"/>
  </mergeCells>
  <printOptions horizontalCentered="1"/>
  <pageMargins left="1" right="1" top="0.94" bottom="0.83" header="0.5" footer="0.49"/>
  <pageSetup scale="65" orientation="portrait" horizontalDpi="300" verticalDpi="300" r:id="rId1"/>
  <headerFooter alignWithMargins="0"/>
  <colBreaks count="1" manualBreakCount="1">
    <brk id="11" max="408" man="1"/>
  </colBreaks>
  <ignoredErrors>
    <ignoredError sqref="G28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47625</xdr:rowOff>
              </from>
              <to>
                <xdr:col>1</xdr:col>
                <xdr:colOff>400050</xdr:colOff>
                <xdr:row>3</xdr:row>
                <xdr:rowOff>9525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B3:R61"/>
  <sheetViews>
    <sheetView zoomScaleNormal="100" zoomScaleSheetLayoutView="100" workbookViewId="0">
      <selection activeCell="U9" sqref="U9"/>
    </sheetView>
  </sheetViews>
  <sheetFormatPr defaultColWidth="9.140625" defaultRowHeight="12.75" x14ac:dyDescent="0.2"/>
  <cols>
    <col min="1" max="1" width="9.140625" style="2" customWidth="1"/>
    <col min="2" max="2" width="9.5703125" style="2" customWidth="1"/>
    <col min="3" max="3" width="37.42578125" style="2" customWidth="1"/>
    <col min="4" max="10" width="13.42578125" style="2" hidden="1" customWidth="1"/>
    <col min="11" max="11" width="12.28515625" style="2" hidden="1" customWidth="1"/>
    <col min="12" max="14" width="0" style="2" hidden="1" customWidth="1"/>
    <col min="15" max="17" width="9.140625" style="2"/>
    <col min="18" max="18" width="11" style="2" bestFit="1" customWidth="1"/>
    <col min="19" max="16384" width="9.140625" style="2"/>
  </cols>
  <sheetData>
    <row r="3" spans="2:18" x14ac:dyDescent="0.2">
      <c r="P3" s="8" t="s">
        <v>111</v>
      </c>
    </row>
    <row r="4" spans="2:18" ht="12.75" customHeight="1" x14ac:dyDescent="0.25">
      <c r="G4" s="50" t="s">
        <v>103</v>
      </c>
      <c r="H4" s="50"/>
      <c r="I4" s="50"/>
      <c r="J4" s="50"/>
      <c r="K4" s="50"/>
    </row>
    <row r="5" spans="2:18" ht="9" customHeight="1" x14ac:dyDescent="0.2"/>
    <row r="8" spans="2:18" ht="15.75" x14ac:dyDescent="0.25">
      <c r="B8" s="27">
        <v>15.06</v>
      </c>
      <c r="C8" s="207" t="s">
        <v>109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</row>
    <row r="10" spans="2:18" ht="12.75" customHeight="1" x14ac:dyDescent="0.2"/>
    <row r="11" spans="2:18" x14ac:dyDescent="0.2">
      <c r="C11" s="167"/>
      <c r="D11" s="95">
        <v>2005</v>
      </c>
      <c r="E11" s="95">
        <v>2006</v>
      </c>
      <c r="F11" s="95">
        <v>2007</v>
      </c>
      <c r="G11" s="96">
        <v>2008</v>
      </c>
      <c r="H11" s="96">
        <v>2009</v>
      </c>
      <c r="I11" s="96">
        <v>2010</v>
      </c>
      <c r="J11" s="96">
        <v>2011</v>
      </c>
      <c r="K11" s="96">
        <v>2012</v>
      </c>
      <c r="L11" s="96">
        <v>2013</v>
      </c>
      <c r="M11" s="96">
        <v>2014</v>
      </c>
      <c r="N11" s="96">
        <v>2015</v>
      </c>
      <c r="O11" s="96">
        <v>2016</v>
      </c>
      <c r="P11" s="96">
        <v>2017</v>
      </c>
      <c r="Q11" s="96">
        <v>2018</v>
      </c>
      <c r="R11" s="96">
        <v>2019</v>
      </c>
    </row>
    <row r="14" spans="2:18" ht="15.75" x14ac:dyDescent="0.25">
      <c r="C14" s="10" t="s">
        <v>85</v>
      </c>
      <c r="D14" s="11"/>
      <c r="E14" s="11"/>
      <c r="F14" s="11"/>
    </row>
    <row r="15" spans="2:18" ht="15" customHeight="1" x14ac:dyDescent="0.2">
      <c r="C15" s="2" t="s">
        <v>86</v>
      </c>
      <c r="D15" s="11">
        <v>7.59</v>
      </c>
      <c r="E15" s="11">
        <v>6.62</v>
      </c>
      <c r="F15" s="11">
        <v>6.6</v>
      </c>
      <c r="G15" s="11">
        <v>6.41</v>
      </c>
      <c r="H15" s="11">
        <v>6.9</v>
      </c>
      <c r="I15" s="11">
        <v>6.1</v>
      </c>
      <c r="J15" s="11">
        <v>4.8</v>
      </c>
      <c r="K15" s="11">
        <v>4.9000000000000004</v>
      </c>
      <c r="L15" s="134" t="s">
        <v>79</v>
      </c>
      <c r="M15" s="134" t="s">
        <v>79</v>
      </c>
      <c r="N15" s="134" t="s">
        <v>79</v>
      </c>
      <c r="O15" s="197">
        <v>6.27</v>
      </c>
      <c r="P15" s="197">
        <v>6.3</v>
      </c>
      <c r="Q15" s="197">
        <v>6.2</v>
      </c>
      <c r="R15" s="197">
        <v>6.09</v>
      </c>
    </row>
    <row r="16" spans="2:18" x14ac:dyDescent="0.2">
      <c r="D16" s="11"/>
      <c r="E16" s="11"/>
      <c r="F16" s="11"/>
      <c r="G16" s="11"/>
      <c r="H16" s="11"/>
      <c r="I16" s="11"/>
      <c r="J16" s="11"/>
      <c r="K16" s="11"/>
      <c r="L16" s="134" t="s">
        <v>79</v>
      </c>
      <c r="M16" s="134" t="s">
        <v>79</v>
      </c>
      <c r="N16" s="134" t="s">
        <v>79</v>
      </c>
      <c r="O16" s="197"/>
      <c r="P16" s="197"/>
      <c r="Q16" s="197"/>
      <c r="R16" s="197"/>
    </row>
    <row r="17" spans="3:18" x14ac:dyDescent="0.2">
      <c r="C17" s="2" t="s">
        <v>87</v>
      </c>
      <c r="D17" s="134">
        <v>2.12</v>
      </c>
      <c r="E17" s="11">
        <v>2.2999999999999998</v>
      </c>
      <c r="F17" s="11">
        <v>2.2599999999999998</v>
      </c>
      <c r="G17" s="11">
        <v>2.12</v>
      </c>
      <c r="H17" s="11">
        <v>2.2999999999999998</v>
      </c>
      <c r="I17" s="11">
        <v>2.2999999999999998</v>
      </c>
      <c r="J17" s="11">
        <v>2.2000000000000002</v>
      </c>
      <c r="K17" s="11">
        <v>2.2000000000000002</v>
      </c>
      <c r="L17" s="134" t="s">
        <v>79</v>
      </c>
      <c r="M17" s="134" t="s">
        <v>79</v>
      </c>
      <c r="N17" s="134" t="s">
        <v>79</v>
      </c>
      <c r="O17" s="197">
        <v>2.39</v>
      </c>
      <c r="P17" s="197">
        <v>2.38</v>
      </c>
      <c r="Q17" s="197">
        <v>2.35</v>
      </c>
      <c r="R17" s="197">
        <v>2.39</v>
      </c>
    </row>
    <row r="18" spans="3:18" x14ac:dyDescent="0.2">
      <c r="L18" s="134" t="s">
        <v>79</v>
      </c>
      <c r="M18" s="134" t="s">
        <v>79</v>
      </c>
      <c r="N18" s="134" t="s">
        <v>79</v>
      </c>
    </row>
    <row r="19" spans="3:18" x14ac:dyDescent="0.2">
      <c r="C19" s="2" t="s">
        <v>88</v>
      </c>
      <c r="D19" s="198">
        <v>115</v>
      </c>
      <c r="E19" s="198">
        <v>162</v>
      </c>
      <c r="F19" s="198">
        <v>164</v>
      </c>
      <c r="G19" s="198">
        <v>164</v>
      </c>
      <c r="H19" s="199">
        <v>139</v>
      </c>
      <c r="I19" s="199">
        <v>129</v>
      </c>
      <c r="J19" s="199">
        <v>194</v>
      </c>
      <c r="K19" s="199">
        <v>241</v>
      </c>
      <c r="L19" s="134" t="s">
        <v>79</v>
      </c>
      <c r="M19" s="134" t="s">
        <v>79</v>
      </c>
      <c r="N19" s="134" t="s">
        <v>79</v>
      </c>
      <c r="O19" s="197">
        <v>178.14</v>
      </c>
      <c r="P19" s="197">
        <v>188.79</v>
      </c>
      <c r="Q19" s="197">
        <v>197.4</v>
      </c>
      <c r="R19" s="197">
        <v>201.7</v>
      </c>
    </row>
    <row r="20" spans="3:18" x14ac:dyDescent="0.2">
      <c r="D20" s="39"/>
      <c r="E20" s="39"/>
      <c r="F20" s="39"/>
      <c r="G20" s="39"/>
      <c r="L20" s="134" t="s">
        <v>79</v>
      </c>
      <c r="M20" s="134" t="s">
        <v>79</v>
      </c>
      <c r="N20" s="134" t="s">
        <v>79</v>
      </c>
    </row>
    <row r="21" spans="3:18" s="24" customFormat="1" x14ac:dyDescent="0.2">
      <c r="C21" s="24" t="s">
        <v>89</v>
      </c>
      <c r="D21" s="200">
        <v>147</v>
      </c>
      <c r="E21" s="200">
        <v>286</v>
      </c>
      <c r="F21" s="200">
        <v>316</v>
      </c>
      <c r="G21" s="200">
        <v>318</v>
      </c>
      <c r="H21" s="201">
        <v>262</v>
      </c>
      <c r="I21" s="201">
        <v>225</v>
      </c>
      <c r="J21" s="201">
        <v>287</v>
      </c>
      <c r="K21" s="201">
        <v>381</v>
      </c>
      <c r="L21" s="134" t="s">
        <v>79</v>
      </c>
      <c r="M21" s="134" t="s">
        <v>79</v>
      </c>
      <c r="N21" s="134" t="s">
        <v>79</v>
      </c>
      <c r="O21" s="117">
        <v>430.5</v>
      </c>
      <c r="P21" s="117">
        <v>497.6</v>
      </c>
      <c r="Q21" s="117">
        <v>566.70000000000005</v>
      </c>
      <c r="R21" s="117">
        <v>617.6</v>
      </c>
    </row>
    <row r="22" spans="3:18" x14ac:dyDescent="0.2">
      <c r="D22" s="202"/>
      <c r="E22" s="202"/>
      <c r="F22" s="202"/>
      <c r="L22" s="134"/>
      <c r="M22" s="134"/>
      <c r="N22" s="134"/>
    </row>
    <row r="23" spans="3:18" x14ac:dyDescent="0.2">
      <c r="L23" s="134"/>
      <c r="M23" s="134"/>
      <c r="N23" s="134"/>
    </row>
    <row r="24" spans="3:18" ht="12" customHeight="1" x14ac:dyDescent="0.2">
      <c r="L24" s="134"/>
      <c r="M24" s="134"/>
      <c r="N24" s="134"/>
    </row>
    <row r="25" spans="3:18" ht="15.75" x14ac:dyDescent="0.25">
      <c r="C25" s="10" t="s">
        <v>101</v>
      </c>
      <c r="L25" s="134"/>
      <c r="M25" s="134"/>
      <c r="N25" s="134"/>
    </row>
    <row r="26" spans="3:18" ht="15" customHeight="1" x14ac:dyDescent="0.2">
      <c r="C26" s="2" t="s">
        <v>90</v>
      </c>
      <c r="D26" s="203">
        <v>93</v>
      </c>
      <c r="E26" s="199">
        <f>96.94/1.2</f>
        <v>80.783333333333331</v>
      </c>
      <c r="F26" s="199">
        <f>63.7/1.2</f>
        <v>53.083333333333336</v>
      </c>
      <c r="G26" s="199">
        <f>101.13/1.2</f>
        <v>84.275000000000006</v>
      </c>
      <c r="H26" s="199">
        <v>137</v>
      </c>
      <c r="I26" s="199">
        <v>68</v>
      </c>
      <c r="J26" s="199">
        <v>67</v>
      </c>
      <c r="K26" s="199">
        <v>84</v>
      </c>
      <c r="L26" s="134" t="s">
        <v>79</v>
      </c>
      <c r="M26" s="134" t="s">
        <v>79</v>
      </c>
      <c r="N26" s="134" t="s">
        <v>79</v>
      </c>
      <c r="O26" s="197">
        <v>97.33</v>
      </c>
      <c r="P26" s="197">
        <v>98.78</v>
      </c>
      <c r="Q26" s="197">
        <v>96.3</v>
      </c>
      <c r="R26" s="197">
        <v>94.9</v>
      </c>
    </row>
    <row r="27" spans="3:18" x14ac:dyDescent="0.2">
      <c r="D27" s="59"/>
      <c r="L27" s="134" t="s">
        <v>79</v>
      </c>
      <c r="M27" s="134" t="s">
        <v>79</v>
      </c>
      <c r="N27" s="134" t="s">
        <v>79</v>
      </c>
    </row>
    <row r="28" spans="3:18" x14ac:dyDescent="0.2">
      <c r="C28" s="2" t="s">
        <v>91</v>
      </c>
      <c r="D28" s="204">
        <v>1798.999</v>
      </c>
      <c r="E28" s="35">
        <v>1930.136</v>
      </c>
      <c r="F28" s="35">
        <v>1715.6659999999999</v>
      </c>
      <c r="G28" s="35">
        <v>1553.0530000000001</v>
      </c>
      <c r="H28" s="35">
        <v>1520</v>
      </c>
      <c r="I28" s="35">
        <v>1598</v>
      </c>
      <c r="J28" s="35">
        <v>1401</v>
      </c>
      <c r="K28" s="35">
        <v>1507</v>
      </c>
      <c r="L28" s="134" t="s">
        <v>79</v>
      </c>
      <c r="M28" s="134" t="s">
        <v>79</v>
      </c>
      <c r="N28" s="134" t="s">
        <v>79</v>
      </c>
      <c r="O28" s="35">
        <v>1711.8</v>
      </c>
      <c r="P28" s="35">
        <v>1728</v>
      </c>
      <c r="Q28" s="35">
        <v>1921</v>
      </c>
      <c r="R28" s="35">
        <v>1831</v>
      </c>
    </row>
    <row r="29" spans="3:18" x14ac:dyDescent="0.2">
      <c r="D29" s="204"/>
      <c r="E29" s="35"/>
      <c r="F29" s="35"/>
      <c r="G29" s="35"/>
      <c r="H29" s="35"/>
      <c r="I29" s="35"/>
      <c r="J29" s="35"/>
      <c r="K29" s="35"/>
      <c r="L29" s="134" t="s">
        <v>79</v>
      </c>
      <c r="M29" s="134" t="s">
        <v>79</v>
      </c>
      <c r="N29" s="134" t="s">
        <v>79</v>
      </c>
      <c r="O29" s="35"/>
      <c r="P29" s="35"/>
      <c r="Q29" s="35"/>
      <c r="R29" s="35"/>
    </row>
    <row r="30" spans="3:18" x14ac:dyDescent="0.2">
      <c r="C30" s="2" t="s">
        <v>110</v>
      </c>
      <c r="D30" s="204">
        <v>1619.0989999999999</v>
      </c>
      <c r="E30" s="204">
        <v>1737.1220000000001</v>
      </c>
      <c r="F30" s="204">
        <v>1544.0989999999999</v>
      </c>
      <c r="G30" s="204">
        <v>1397.748</v>
      </c>
      <c r="H30" s="204">
        <v>1368</v>
      </c>
      <c r="I30" s="204">
        <v>1438</v>
      </c>
      <c r="J30" s="204">
        <v>1261</v>
      </c>
      <c r="K30" s="204">
        <v>1357</v>
      </c>
      <c r="L30" s="134" t="s">
        <v>79</v>
      </c>
      <c r="M30" s="134" t="s">
        <v>79</v>
      </c>
      <c r="N30" s="134" t="s">
        <v>79</v>
      </c>
      <c r="O30" s="204">
        <v>1541</v>
      </c>
      <c r="P30" s="204">
        <v>1556</v>
      </c>
      <c r="Q30" s="204">
        <v>1729</v>
      </c>
      <c r="R30" s="204">
        <v>1648</v>
      </c>
    </row>
    <row r="31" spans="3:18" x14ac:dyDescent="0.2">
      <c r="D31" s="59"/>
      <c r="L31" s="134" t="s">
        <v>79</v>
      </c>
      <c r="M31" s="134" t="s">
        <v>79</v>
      </c>
      <c r="N31" s="134" t="s">
        <v>79</v>
      </c>
    </row>
    <row r="32" spans="3:18" s="24" customFormat="1" x14ac:dyDescent="0.2">
      <c r="C32" s="24" t="s">
        <v>92</v>
      </c>
      <c r="D32" s="201">
        <v>150</v>
      </c>
      <c r="E32" s="201">
        <v>141</v>
      </c>
      <c r="F32" s="201">
        <v>83</v>
      </c>
      <c r="G32" s="201">
        <v>119</v>
      </c>
      <c r="H32" s="201">
        <v>187</v>
      </c>
      <c r="I32" s="201">
        <v>98</v>
      </c>
      <c r="J32" s="201">
        <v>85</v>
      </c>
      <c r="K32" s="201">
        <v>115</v>
      </c>
      <c r="L32" s="134" t="s">
        <v>79</v>
      </c>
      <c r="M32" s="134" t="s">
        <v>79</v>
      </c>
      <c r="N32" s="134" t="s">
        <v>79</v>
      </c>
      <c r="O32" s="117">
        <v>149.9</v>
      </c>
      <c r="P32" s="117">
        <v>154</v>
      </c>
      <c r="Q32" s="117">
        <v>166.5</v>
      </c>
      <c r="R32" s="117">
        <v>156.4</v>
      </c>
    </row>
    <row r="33" spans="2:18" x14ac:dyDescent="0.2">
      <c r="C33" s="8"/>
      <c r="D33" s="205"/>
      <c r="E33" s="205"/>
      <c r="F33" s="205"/>
      <c r="G33" s="205"/>
      <c r="H33" s="205"/>
      <c r="I33" s="205"/>
      <c r="J33" s="205"/>
      <c r="K33" s="205"/>
      <c r="L33" s="134"/>
      <c r="M33" s="134"/>
      <c r="N33" s="134"/>
      <c r="O33" s="205"/>
      <c r="P33" s="205"/>
      <c r="Q33" s="205"/>
      <c r="R33" s="205"/>
    </row>
    <row r="34" spans="2:18" ht="15.75" hidden="1" customHeight="1" x14ac:dyDescent="0.25">
      <c r="C34" s="206"/>
      <c r="D34" s="59"/>
      <c r="L34" s="134"/>
      <c r="M34" s="134"/>
      <c r="N34" s="134"/>
    </row>
    <row r="35" spans="2:18" ht="15.75" x14ac:dyDescent="0.25">
      <c r="C35" s="206"/>
      <c r="D35" s="59"/>
      <c r="L35" s="134"/>
      <c r="M35" s="134"/>
      <c r="N35" s="134"/>
    </row>
    <row r="36" spans="2:18" x14ac:dyDescent="0.2">
      <c r="C36" s="24" t="s">
        <v>93</v>
      </c>
      <c r="D36" s="201">
        <v>297</v>
      </c>
      <c r="E36" s="201">
        <f>E21+E32</f>
        <v>427</v>
      </c>
      <c r="F36" s="201">
        <f>SUM(F21+F32)</f>
        <v>399</v>
      </c>
      <c r="G36" s="201">
        <f>SUM(G21+G32)</f>
        <v>437</v>
      </c>
      <c r="H36" s="201">
        <f>SUM(H21+H32)</f>
        <v>449</v>
      </c>
      <c r="I36" s="201">
        <f>SUM(I21+I32)</f>
        <v>323</v>
      </c>
      <c r="J36" s="201">
        <f>SUM(J21+J32)</f>
        <v>372</v>
      </c>
      <c r="K36" s="201">
        <v>496</v>
      </c>
      <c r="L36" s="134" t="s">
        <v>79</v>
      </c>
      <c r="M36" s="134" t="s">
        <v>79</v>
      </c>
      <c r="N36" s="134" t="s">
        <v>79</v>
      </c>
      <c r="O36" s="117">
        <f>O32+O21</f>
        <v>580.4</v>
      </c>
      <c r="P36" s="117">
        <f>P32+P21</f>
        <v>651.6</v>
      </c>
      <c r="Q36" s="117">
        <f>Q32+Q21</f>
        <v>733.2</v>
      </c>
      <c r="R36" s="117">
        <f>R32+R21</f>
        <v>774</v>
      </c>
    </row>
    <row r="37" spans="2:18" x14ac:dyDescent="0.2">
      <c r="B37" s="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</row>
    <row r="38" spans="2:18" x14ac:dyDescent="0.2">
      <c r="B38" s="1"/>
      <c r="C38" s="1"/>
      <c r="D38" s="1"/>
      <c r="E38" s="1"/>
      <c r="F38" s="1"/>
      <c r="G38" s="1"/>
      <c r="H38" s="1"/>
      <c r="I38" s="1"/>
      <c r="J38" s="1"/>
    </row>
    <row r="39" spans="2:18" x14ac:dyDescent="0.2">
      <c r="C39" s="20" t="s">
        <v>94</v>
      </c>
    </row>
    <row r="40" spans="2:18" ht="14.25" x14ac:dyDescent="0.2">
      <c r="B40" s="46"/>
      <c r="C40" s="48"/>
    </row>
    <row r="41" spans="2:18" ht="14.25" x14ac:dyDescent="0.2">
      <c r="B41" s="46"/>
      <c r="C41" s="48"/>
    </row>
    <row r="42" spans="2:18" ht="14.25" x14ac:dyDescent="0.2">
      <c r="B42" s="46"/>
    </row>
    <row r="43" spans="2:18" ht="14.25" x14ac:dyDescent="0.2">
      <c r="B43" s="46"/>
    </row>
    <row r="44" spans="2:18" ht="14.25" x14ac:dyDescent="0.2">
      <c r="B44" s="46"/>
    </row>
    <row r="45" spans="2:18" ht="14.25" x14ac:dyDescent="0.2">
      <c r="B45" s="46"/>
    </row>
    <row r="46" spans="2:18" ht="14.25" x14ac:dyDescent="0.2">
      <c r="B46" s="46"/>
    </row>
    <row r="47" spans="2:18" ht="14.25" x14ac:dyDescent="0.2">
      <c r="B47" s="46"/>
    </row>
    <row r="48" spans="2:18" ht="14.25" x14ac:dyDescent="0.2">
      <c r="B48" s="46"/>
    </row>
    <row r="49" spans="2:7" ht="14.25" x14ac:dyDescent="0.2">
      <c r="B49" s="46"/>
    </row>
    <row r="50" spans="2:7" ht="14.25" x14ac:dyDescent="0.2">
      <c r="B50" s="46"/>
    </row>
    <row r="51" spans="2:7" ht="14.25" x14ac:dyDescent="0.2">
      <c r="B51" s="46"/>
    </row>
    <row r="52" spans="2:7" ht="14.25" x14ac:dyDescent="0.2">
      <c r="B52" s="46"/>
    </row>
    <row r="53" spans="2:7" ht="14.25" x14ac:dyDescent="0.2">
      <c r="B53" s="46"/>
    </row>
    <row r="54" spans="2:7" ht="14.25" x14ac:dyDescent="0.2">
      <c r="B54" s="46"/>
    </row>
    <row r="55" spans="2:7" ht="14.25" x14ac:dyDescent="0.2">
      <c r="B55" s="46"/>
    </row>
    <row r="56" spans="2:7" ht="14.25" x14ac:dyDescent="0.2">
      <c r="B56" s="46"/>
    </row>
    <row r="57" spans="2:7" ht="14.25" x14ac:dyDescent="0.2">
      <c r="B57" s="46"/>
    </row>
    <row r="58" spans="2:7" ht="14.25" x14ac:dyDescent="0.2">
      <c r="B58" s="46"/>
    </row>
    <row r="59" spans="2:7" x14ac:dyDescent="0.2">
      <c r="C59" s="25"/>
    </row>
    <row r="60" spans="2:7" ht="9" customHeight="1" x14ac:dyDescent="0.2"/>
    <row r="61" spans="2:7" x14ac:dyDescent="0.2">
      <c r="B61" s="211"/>
      <c r="C61" s="211"/>
      <c r="D61" s="211"/>
      <c r="E61" s="211"/>
      <c r="F61" s="211"/>
      <c r="G61" s="211"/>
    </row>
  </sheetData>
  <mergeCells count="2">
    <mergeCell ref="B61:G61"/>
    <mergeCell ref="C8:P8"/>
  </mergeCells>
  <printOptions horizontalCentered="1"/>
  <pageMargins left="0.75" right="0.75" top="1" bottom="1" header="0.5" footer="0.24"/>
  <pageSetup scale="4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7169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552450</xdr:colOff>
                <xdr:row>3</xdr:row>
                <xdr:rowOff>123825</xdr:rowOff>
              </to>
            </anchor>
          </objectPr>
        </oleObject>
      </mc:Choice>
      <mc:Fallback>
        <oleObject progId="MSPhotoEd.3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.01</vt:lpstr>
      <vt:lpstr>.02</vt:lpstr>
      <vt:lpstr>.03</vt:lpstr>
      <vt:lpstr>.04</vt:lpstr>
      <vt:lpstr>.05</vt:lpstr>
      <vt:lpstr>.06</vt:lpstr>
      <vt:lpstr>'.01'!Print_Area</vt:lpstr>
      <vt:lpstr>'.02'!Print_Area</vt:lpstr>
      <vt:lpstr>'.03'!Print_Area</vt:lpstr>
      <vt:lpstr>'.05'!Print_Area</vt:lpstr>
      <vt:lpstr>'.06'!Print_Area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dcterms:created xsi:type="dcterms:W3CDTF">2016-01-21T16:40:39Z</dcterms:created>
  <dcterms:modified xsi:type="dcterms:W3CDTF">2020-09-24T14:27:01Z</dcterms:modified>
</cp:coreProperties>
</file>