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drawings/drawing17.xml" ContentType="application/vnd.openxmlformats-officedocument.drawing+xml"/>
  <Override PartName="/xl/embeddings/oleObject17.bin" ContentType="application/vnd.openxmlformats-officedocument.oleObject"/>
  <Override PartName="/xl/charts/chart2.xml" ContentType="application/vnd.openxmlformats-officedocument.drawingml.chart+xml"/>
  <Override PartName="/xl/drawings/drawing18.xml" ContentType="application/vnd.openxmlformats-officedocument.drawing+xml"/>
  <Override PartName="/xl/embeddings/oleObject1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1"/>
  <workbookPr defaultThemeVersion="124226"/>
  <mc:AlternateContent xmlns:mc="http://schemas.openxmlformats.org/markup-compatibility/2006">
    <mc:Choice Requires="x15">
      <x15ac:absPath xmlns:x15ac="http://schemas.microsoft.com/office/spreadsheetml/2010/11/ac" url="L:\Compendium of Statistics\2022 Compendium\Website\2022 Chapters\"/>
    </mc:Choice>
  </mc:AlternateContent>
  <xr:revisionPtr revIDLastSave="0" documentId="13_ncr:1_{BE607962-C604-4369-963B-F8103FC24044}" xr6:coauthVersionLast="36" xr6:coauthVersionMax="36" xr10:uidLastSave="{00000000-0000-0000-0000-000000000000}"/>
  <bookViews>
    <workbookView xWindow="0" yWindow="0" windowWidth="21570" windowHeight="7890" tabRatio="882" firstSheet="1" activeTab="1" xr2:uid="{00000000-000D-0000-FFFF-FFFF00000000}"/>
  </bookViews>
  <sheets>
    <sheet name=".0" sheetId="23" state="hidden" r:id="rId1"/>
    <sheet name=".01" sheetId="1" r:id="rId2"/>
    <sheet name=".02" sheetId="2" r:id="rId3"/>
    <sheet name=".02cp2" sheetId="7" state="hidden" r:id="rId4"/>
    <sheet name=".03" sheetId="6" r:id="rId5"/>
    <sheet name=".04" sheetId="25" r:id="rId6"/>
    <sheet name="Life Table" sheetId="34" r:id="rId7"/>
    <sheet name=".06" sheetId="29" r:id="rId8"/>
    <sheet name=".01 Fig" sheetId="30" r:id="rId9"/>
    <sheet name=".07" sheetId="31" r:id="rId10"/>
    <sheet name=".08" sheetId="8" r:id="rId11"/>
    <sheet name=".09" sheetId="22" r:id="rId12"/>
    <sheet name=".10" sheetId="9" r:id="rId13"/>
    <sheet name=".11" sheetId="10" r:id="rId14"/>
    <sheet name=".12" sheetId="11" r:id="rId15"/>
    <sheet name=".13" sheetId="12" r:id="rId16"/>
    <sheet name="1.14" sheetId="32" r:id="rId17"/>
    <sheet name="1.15" sheetId="26" r:id="rId18"/>
  </sheets>
  <definedNames>
    <definedName name="_xlnm.Print_Area" localSheetId="0">'.0'!$C$1:$S$90</definedName>
    <definedName name="_xlnm.Print_Area" localSheetId="1">'.01'!$A$1:$I$49</definedName>
    <definedName name="_xlnm.Print_Area" localSheetId="8">'.01 Fig'!$A$1:$K$51</definedName>
    <definedName name="_xlnm.Print_Area" localSheetId="2">'.02'!$A$1:$I$50</definedName>
    <definedName name="_xlnm.Print_Area" localSheetId="3">'.02cp2'!$A$1:$H$52</definedName>
    <definedName name="_xlnm.Print_Area" localSheetId="4">'.03'!$A$1:$K$60</definedName>
    <definedName name="_xlnm.Print_Area" localSheetId="5">'.04'!$A$1:$M$69</definedName>
    <definedName name="_xlnm.Print_Area" localSheetId="7">'.06'!$A$1:$L$46</definedName>
    <definedName name="_xlnm.Print_Area" localSheetId="9">'.07'!$A$1:$I$55</definedName>
    <definedName name="_xlnm.Print_Area" localSheetId="10">'.08'!$A$1:$K$69</definedName>
    <definedName name="_xlnm.Print_Area" localSheetId="11">'.09'!$A$1:$N$48</definedName>
    <definedName name="_xlnm.Print_Area" localSheetId="12">'.10'!$A$1:$N$52</definedName>
    <definedName name="_xlnm.Print_Area" localSheetId="13">'.11'!$A$1:$K$51</definedName>
    <definedName name="_xlnm.Print_Area" localSheetId="14">'.12'!$A$1:$J$45</definedName>
    <definedName name="_xlnm.Print_Area" localSheetId="15">'.13'!$A$1:$F$51</definedName>
    <definedName name="_xlnm.Print_Area" localSheetId="16">'1.14'!$A$1:$W$55</definedName>
    <definedName name="_xlnm.Print_Area" localSheetId="17">'1.15'!$A$1:$R$50</definedName>
    <definedName name="_xlnm.Print_Area" localSheetId="6">'Life Table'!$A$1:$N$93</definedName>
  </definedNames>
  <calcPr calcId="191029" iterate="1" iterateCount="1000" calcOnSave="0"/>
</workbook>
</file>

<file path=xl/calcChain.xml><?xml version="1.0" encoding="utf-8"?>
<calcChain xmlns="http://schemas.openxmlformats.org/spreadsheetml/2006/main">
  <c r="E314" i="34" l="1"/>
  <c r="E313" i="34"/>
  <c r="E312" i="34"/>
  <c r="E311" i="34"/>
  <c r="E310" i="34"/>
  <c r="E309" i="34"/>
  <c r="E308" i="34"/>
  <c r="E307" i="34"/>
  <c r="E306" i="34"/>
  <c r="E305" i="34"/>
  <c r="E304" i="34"/>
  <c r="E303" i="34"/>
  <c r="G296" i="34"/>
  <c r="F287" i="34"/>
  <c r="H280" i="34"/>
  <c r="G247" i="34"/>
  <c r="K268" i="34" s="1"/>
  <c r="C67" i="34"/>
  <c r="C66" i="34"/>
  <c r="C65" i="34"/>
  <c r="C64" i="34"/>
  <c r="C63" i="34"/>
  <c r="C62" i="34"/>
  <c r="C61" i="34"/>
  <c r="C60" i="34"/>
  <c r="C59" i="34"/>
  <c r="C58" i="34"/>
  <c r="C57" i="34"/>
  <c r="C56" i="34"/>
  <c r="C55" i="34"/>
  <c r="C54" i="34"/>
  <c r="J49" i="34"/>
  <c r="F47" i="34"/>
  <c r="F312" i="34"/>
  <c r="F353" i="34"/>
  <c r="F352" i="34"/>
  <c r="F351" i="34"/>
  <c r="F350" i="34"/>
  <c r="F349" i="34"/>
  <c r="F348" i="34"/>
  <c r="E348" i="34"/>
  <c r="F347" i="34"/>
  <c r="F346" i="34"/>
  <c r="E346" i="34"/>
  <c r="E345" i="34"/>
  <c r="F344" i="34"/>
  <c r="E344" i="34"/>
  <c r="F343" i="34"/>
  <c r="E343" i="34"/>
  <c r="G343" i="34" s="1"/>
  <c r="F342" i="34"/>
  <c r="E342" i="34"/>
  <c r="G342" i="34" s="1"/>
  <c r="F341" i="34"/>
  <c r="E341" i="34"/>
  <c r="F340" i="34"/>
  <c r="E340" i="34"/>
  <c r="F339" i="34"/>
  <c r="E339" i="34"/>
  <c r="G339" i="34" s="1"/>
  <c r="F338" i="34"/>
  <c r="E338" i="34"/>
  <c r="G338" i="34" s="1"/>
  <c r="F337" i="34"/>
  <c r="E337" i="34"/>
  <c r="F336" i="34"/>
  <c r="E336" i="34"/>
  <c r="F335" i="34"/>
  <c r="E335" i="34"/>
  <c r="G335" i="34" s="1"/>
  <c r="J335" i="34" s="1"/>
  <c r="E57" i="34" s="1"/>
  <c r="F334" i="34"/>
  <c r="E334" i="34"/>
  <c r="G334" i="34" s="1"/>
  <c r="J334" i="34" s="1"/>
  <c r="E56" i="34" s="1"/>
  <c r="F333" i="34"/>
  <c r="E333" i="34"/>
  <c r="F332" i="34"/>
  <c r="H258" i="34" l="1"/>
  <c r="H265" i="34"/>
  <c r="H270" i="34"/>
  <c r="F314" i="34"/>
  <c r="G314" i="34"/>
  <c r="G57" i="34"/>
  <c r="I304" i="34" s="1"/>
  <c r="H304" i="34"/>
  <c r="G353" i="34"/>
  <c r="J353" i="34" s="1"/>
  <c r="D238" i="34"/>
  <c r="F345" i="34"/>
  <c r="H303" i="34"/>
  <c r="G56" i="34"/>
  <c r="I303" i="34" s="1"/>
  <c r="G348" i="34"/>
  <c r="G346" i="34"/>
  <c r="E349" i="34"/>
  <c r="G349" i="34" s="1"/>
  <c r="D239" i="34"/>
  <c r="F281" i="34"/>
  <c r="F291" i="34"/>
  <c r="I343" i="34"/>
  <c r="D242" i="34"/>
  <c r="E352" i="34"/>
  <c r="H343" i="34"/>
  <c r="E351" i="34"/>
  <c r="G351" i="34" s="1"/>
  <c r="D241" i="34"/>
  <c r="F273" i="34"/>
  <c r="E332" i="34"/>
  <c r="G336" i="34"/>
  <c r="G340" i="34"/>
  <c r="H339" i="34" s="1"/>
  <c r="I339" i="34" s="1"/>
  <c r="G344" i="34"/>
  <c r="D237" i="34"/>
  <c r="E347" i="34"/>
  <c r="G347" i="34" s="1"/>
  <c r="I352" i="34"/>
  <c r="J352" i="34" s="1"/>
  <c r="G352" i="34"/>
  <c r="F355" i="34"/>
  <c r="E350" i="34"/>
  <c r="D240" i="34"/>
  <c r="G54" i="34"/>
  <c r="G301" i="34"/>
  <c r="G333" i="34"/>
  <c r="J333" i="34" s="1"/>
  <c r="E55" i="34" s="1"/>
  <c r="G337" i="34"/>
  <c r="H338" i="34" s="1"/>
  <c r="I338" i="34" s="1"/>
  <c r="G341" i="34"/>
  <c r="H342" i="34" s="1"/>
  <c r="I342" i="34" s="1"/>
  <c r="G350" i="34"/>
  <c r="E353" i="34"/>
  <c r="D244" i="34"/>
  <c r="D243" i="34"/>
  <c r="G312" i="34"/>
  <c r="K258" i="34"/>
  <c r="K265" i="34"/>
  <c r="K270" i="34"/>
  <c r="H287" i="34" s="1"/>
  <c r="H259" i="34"/>
  <c r="F280" i="34" s="1"/>
  <c r="H266" i="34"/>
  <c r="F286" i="34" s="1"/>
  <c r="F292" i="34" s="1"/>
  <c r="K259" i="34"/>
  <c r="K266" i="34"/>
  <c r="H286" i="34" s="1"/>
  <c r="H260" i="34"/>
  <c r="H267" i="34"/>
  <c r="K260" i="34"/>
  <c r="K267" i="34"/>
  <c r="H261" i="34"/>
  <c r="H268" i="34"/>
  <c r="K261" i="34"/>
  <c r="H340" i="34" l="1"/>
  <c r="I340" i="34" s="1"/>
  <c r="H302" i="34"/>
  <c r="F307" i="34"/>
  <c r="G307" i="34"/>
  <c r="H55" i="34"/>
  <c r="I54" i="34"/>
  <c r="I301" i="34"/>
  <c r="F313" i="34"/>
  <c r="G313" i="34"/>
  <c r="D70" i="34"/>
  <c r="H347" i="34"/>
  <c r="I347" i="34" s="1"/>
  <c r="C70" i="34"/>
  <c r="F317" i="34"/>
  <c r="F70" i="34"/>
  <c r="E317" i="34"/>
  <c r="D317" i="34"/>
  <c r="F320" i="34"/>
  <c r="F73" i="34"/>
  <c r="E320" i="34"/>
  <c r="G320" i="34"/>
  <c r="H350" i="34"/>
  <c r="I350" i="34" s="1"/>
  <c r="D320" i="34"/>
  <c r="C73" i="34" s="1"/>
  <c r="D73" i="34"/>
  <c r="G315" i="34"/>
  <c r="F68" i="34"/>
  <c r="F315" i="34"/>
  <c r="D68" i="34"/>
  <c r="D315" i="34"/>
  <c r="E315" i="34" s="1"/>
  <c r="D357" i="34"/>
  <c r="C364" i="34" s="1"/>
  <c r="E357" i="34" s="1"/>
  <c r="H348" i="34"/>
  <c r="I348" i="34" s="1"/>
  <c r="F71" i="34"/>
  <c r="F318" i="34"/>
  <c r="D71" i="34"/>
  <c r="G318" i="34"/>
  <c r="C71" i="34"/>
  <c r="D318" i="34"/>
  <c r="E318" i="34" s="1"/>
  <c r="F305" i="34"/>
  <c r="G305" i="34"/>
  <c r="H341" i="34"/>
  <c r="F306" i="34"/>
  <c r="G306" i="34"/>
  <c r="E75" i="34"/>
  <c r="F75" i="34" s="1"/>
  <c r="D75" i="34"/>
  <c r="I322" i="34"/>
  <c r="G322" i="34"/>
  <c r="F322" i="34"/>
  <c r="E322" i="34"/>
  <c r="G75" i="34"/>
  <c r="D322" i="34"/>
  <c r="C75" i="34" s="1"/>
  <c r="F304" i="34"/>
  <c r="J304" i="34" s="1"/>
  <c r="G304" i="34"/>
  <c r="K304" i="34" s="1"/>
  <c r="H337" i="34"/>
  <c r="F302" i="34"/>
  <c r="J302" i="34" s="1"/>
  <c r="H336" i="34"/>
  <c r="F72" i="34"/>
  <c r="D72" i="34"/>
  <c r="G319" i="34"/>
  <c r="H349" i="34"/>
  <c r="I349" i="34" s="1"/>
  <c r="F319" i="34"/>
  <c r="D319" i="34"/>
  <c r="C72" i="34" s="1"/>
  <c r="H351" i="34"/>
  <c r="I351" i="34" s="1"/>
  <c r="G74" i="34"/>
  <c r="I321" i="34" s="1"/>
  <c r="F74" i="34"/>
  <c r="E74" i="34"/>
  <c r="H321" i="34" s="1"/>
  <c r="F321" i="34"/>
  <c r="J321" i="34" s="1"/>
  <c r="D74" i="34"/>
  <c r="C74" i="34"/>
  <c r="E321" i="34"/>
  <c r="D321" i="34"/>
  <c r="K301" i="34"/>
  <c r="H292" i="34"/>
  <c r="F55" i="34" s="1"/>
  <c r="G55" i="34" s="1"/>
  <c r="I302" i="34" s="1"/>
  <c r="F311" i="34"/>
  <c r="G311" i="34"/>
  <c r="G345" i="34"/>
  <c r="H344" i="34" s="1"/>
  <c r="F303" i="34"/>
  <c r="J303" i="34" s="1"/>
  <c r="G303" i="34"/>
  <c r="K303" i="34" s="1"/>
  <c r="G332" i="34"/>
  <c r="J332" i="34" s="1"/>
  <c r="E355" i="34"/>
  <c r="F309" i="34"/>
  <c r="G309" i="34"/>
  <c r="F69" i="34"/>
  <c r="D69" i="34"/>
  <c r="C69" i="34"/>
  <c r="F316" i="34"/>
  <c r="G316" i="34"/>
  <c r="H346" i="34"/>
  <c r="I346" i="34" s="1"/>
  <c r="D316" i="34"/>
  <c r="E316" i="34" s="1"/>
  <c r="F310" i="34"/>
  <c r="G310" i="34"/>
  <c r="F289" i="34"/>
  <c r="F288" i="34"/>
  <c r="F308" i="34"/>
  <c r="G308" i="34"/>
  <c r="I344" i="34" l="1"/>
  <c r="H56" i="34"/>
  <c r="I55" i="34"/>
  <c r="J54" i="34"/>
  <c r="J322" i="34"/>
  <c r="J348" i="34"/>
  <c r="E70" i="34" s="1"/>
  <c r="H317" i="34" s="1"/>
  <c r="J317" i="34" s="1"/>
  <c r="G317" i="34"/>
  <c r="F54" i="34"/>
  <c r="H345" i="34"/>
  <c r="I345" i="34" s="1"/>
  <c r="J345" i="34" s="1"/>
  <c r="E67" i="34" s="1"/>
  <c r="J343" i="34"/>
  <c r="E65" i="34" s="1"/>
  <c r="J341" i="34"/>
  <c r="E63" i="34" s="1"/>
  <c r="I341" i="34"/>
  <c r="G321" i="34"/>
  <c r="K321" i="34" s="1"/>
  <c r="J337" i="34"/>
  <c r="E59" i="34" s="1"/>
  <c r="I337" i="34"/>
  <c r="I336" i="34"/>
  <c r="I357" i="34" s="1"/>
  <c r="J349" i="34" s="1"/>
  <c r="E71" i="34" s="1"/>
  <c r="H322" i="34"/>
  <c r="C68" i="34"/>
  <c r="E319" i="34"/>
  <c r="H318" i="34" l="1"/>
  <c r="J318" i="34" s="1"/>
  <c r="G71" i="34"/>
  <c r="I318" i="34" s="1"/>
  <c r="K318" i="34" s="1"/>
  <c r="G65" i="34"/>
  <c r="I312" i="34" s="1"/>
  <c r="K312" i="34" s="1"/>
  <c r="H312" i="34"/>
  <c r="J312" i="34" s="1"/>
  <c r="H314" i="34"/>
  <c r="J314" i="34" s="1"/>
  <c r="G67" i="34"/>
  <c r="I314" i="34" s="1"/>
  <c r="K314" i="34" s="1"/>
  <c r="J55" i="34"/>
  <c r="K54" i="34" s="1"/>
  <c r="I56" i="34"/>
  <c r="H57" i="34"/>
  <c r="H306" i="34"/>
  <c r="J306" i="34" s="1"/>
  <c r="G59" i="34"/>
  <c r="I306" i="34" s="1"/>
  <c r="K306" i="34" s="1"/>
  <c r="J340" i="34"/>
  <c r="E62" i="34" s="1"/>
  <c r="J338" i="34"/>
  <c r="E60" i="34" s="1"/>
  <c r="J342" i="34"/>
  <c r="E64" i="34" s="1"/>
  <c r="E54" i="34"/>
  <c r="H301" i="34" s="1"/>
  <c r="F301" i="34"/>
  <c r="J346" i="34"/>
  <c r="E68" i="34" s="1"/>
  <c r="G70" i="34"/>
  <c r="I317" i="34" s="1"/>
  <c r="J336" i="34"/>
  <c r="E58" i="34" s="1"/>
  <c r="G302" i="34"/>
  <c r="K302" i="34" s="1"/>
  <c r="J347" i="34"/>
  <c r="E69" i="34" s="1"/>
  <c r="J350" i="34"/>
  <c r="E72" i="34" s="1"/>
  <c r="J351" i="34"/>
  <c r="E73" i="34" s="1"/>
  <c r="J344" i="34"/>
  <c r="E66" i="34" s="1"/>
  <c r="J339" i="34"/>
  <c r="E61" i="34" s="1"/>
  <c r="G63" i="34"/>
  <c r="I310" i="34" s="1"/>
  <c r="K310" i="34" s="1"/>
  <c r="H310" i="34"/>
  <c r="J310" i="34" s="1"/>
  <c r="K317" i="34"/>
  <c r="H311" i="34" l="1"/>
  <c r="J311" i="34" s="1"/>
  <c r="G64" i="34"/>
  <c r="I311" i="34" s="1"/>
  <c r="K311" i="34" s="1"/>
  <c r="H307" i="34"/>
  <c r="J307" i="34" s="1"/>
  <c r="G60" i="34"/>
  <c r="I307" i="34" s="1"/>
  <c r="K307" i="34" s="1"/>
  <c r="G62" i="34"/>
  <c r="I309" i="34" s="1"/>
  <c r="K309" i="34" s="1"/>
  <c r="H309" i="34"/>
  <c r="J309" i="34" s="1"/>
  <c r="G61" i="34"/>
  <c r="I308" i="34" s="1"/>
  <c r="K308" i="34" s="1"/>
  <c r="H308" i="34"/>
  <c r="J308" i="34" s="1"/>
  <c r="H305" i="34"/>
  <c r="J305" i="34" s="1"/>
  <c r="G58" i="34"/>
  <c r="I305" i="34" s="1"/>
  <c r="K305" i="34" s="1"/>
  <c r="K324" i="34" s="1"/>
  <c r="H316" i="34"/>
  <c r="J316" i="34" s="1"/>
  <c r="G69" i="34"/>
  <c r="I316" i="34" s="1"/>
  <c r="K316" i="34" s="1"/>
  <c r="H315" i="34"/>
  <c r="J315" i="34" s="1"/>
  <c r="G68" i="34"/>
  <c r="I315" i="34" s="1"/>
  <c r="K315" i="34" s="1"/>
  <c r="H58" i="34"/>
  <c r="I57" i="34"/>
  <c r="J56" i="34"/>
  <c r="K55" i="34" s="1"/>
  <c r="H313" i="34"/>
  <c r="J313" i="34" s="1"/>
  <c r="G66" i="34"/>
  <c r="I313" i="34" s="1"/>
  <c r="K313" i="34" s="1"/>
  <c r="H320" i="34"/>
  <c r="J320" i="34" s="1"/>
  <c r="G73" i="34"/>
  <c r="I320" i="34" s="1"/>
  <c r="K320" i="34" s="1"/>
  <c r="G72" i="34"/>
  <c r="I319" i="34" s="1"/>
  <c r="K319" i="34" s="1"/>
  <c r="H319" i="34"/>
  <c r="J319" i="34" s="1"/>
  <c r="J301" i="34"/>
  <c r="J324" i="34" l="1"/>
  <c r="H59" i="34"/>
  <c r="I58" i="34"/>
  <c r="J57" i="34"/>
  <c r="K56" i="34" s="1"/>
  <c r="H60" i="34" l="1"/>
  <c r="I59" i="34"/>
  <c r="J58" i="34"/>
  <c r="K57" i="34" s="1"/>
  <c r="H61" i="34" l="1"/>
  <c r="I60" i="34"/>
  <c r="J59" i="34"/>
  <c r="K58" i="34" s="1"/>
  <c r="H62" i="34" l="1"/>
  <c r="I61" i="34"/>
  <c r="J60" i="34"/>
  <c r="K59" i="34" s="1"/>
  <c r="H63" i="34" l="1"/>
  <c r="I62" i="34"/>
  <c r="J61" i="34"/>
  <c r="K60" i="34" s="1"/>
  <c r="H64" i="34" l="1"/>
  <c r="I63" i="34"/>
  <c r="J62" i="34"/>
  <c r="K61" i="34" s="1"/>
  <c r="J63" i="34" l="1"/>
  <c r="K62" i="34" s="1"/>
  <c r="I64" i="34"/>
  <c r="H65" i="34"/>
  <c r="H66" i="34" l="1"/>
  <c r="I65" i="34"/>
  <c r="J64" i="34"/>
  <c r="K63" i="34" s="1"/>
  <c r="H67" i="34" l="1"/>
  <c r="I66" i="34"/>
  <c r="J65" i="34"/>
  <c r="K64" i="34" s="1"/>
  <c r="I67" i="34" l="1"/>
  <c r="J66" i="34"/>
  <c r="K65" i="34" s="1"/>
  <c r="H68" i="34"/>
  <c r="J67" i="34" l="1"/>
  <c r="K66" i="34" s="1"/>
  <c r="H69" i="34"/>
  <c r="I68" i="34"/>
  <c r="J68" i="34" l="1"/>
  <c r="K67" i="34" s="1"/>
  <c r="I69" i="34"/>
  <c r="H70" i="34"/>
  <c r="J69" i="34" l="1"/>
  <c r="K68" i="34" s="1"/>
  <c r="I70" i="34"/>
  <c r="H71" i="34"/>
  <c r="J70" i="34" l="1"/>
  <c r="K69" i="34" s="1"/>
  <c r="H72" i="34"/>
  <c r="I71" i="34"/>
  <c r="I72" i="34" l="1"/>
  <c r="J71" i="34"/>
  <c r="K70" i="34" s="1"/>
  <c r="H73" i="34"/>
  <c r="H74" i="34" l="1"/>
  <c r="J72" i="34"/>
  <c r="K71" i="34" s="1"/>
  <c r="I73" i="34"/>
  <c r="H75" i="34" l="1"/>
  <c r="J73" i="34"/>
  <c r="K72" i="34" s="1"/>
  <c r="I74" i="34"/>
  <c r="J74" i="34" l="1"/>
  <c r="K73" i="34" s="1"/>
  <c r="I75" i="34"/>
  <c r="J75" i="34"/>
  <c r="L75" i="34" s="1"/>
  <c r="L74" i="34" l="1"/>
  <c r="K74" i="34" s="1"/>
  <c r="M75" i="34"/>
  <c r="M74" i="34" l="1"/>
  <c r="L73" i="34"/>
  <c r="L72" i="34" l="1"/>
  <c r="M73" i="34"/>
  <c r="L71" i="34" l="1"/>
  <c r="M72" i="34"/>
  <c r="M71" i="34" l="1"/>
  <c r="L70" i="34"/>
  <c r="L69" i="34" l="1"/>
  <c r="M70" i="34"/>
  <c r="M69" i="34" l="1"/>
  <c r="L68" i="34"/>
  <c r="L67" i="34" l="1"/>
  <c r="M68" i="34"/>
  <c r="M67" i="34" l="1"/>
  <c r="L66" i="34"/>
  <c r="M66" i="34" l="1"/>
  <c r="L65" i="34"/>
  <c r="M65" i="34" l="1"/>
  <c r="L64" i="34"/>
  <c r="M64" i="34" l="1"/>
  <c r="L63" i="34"/>
  <c r="M63" i="34" l="1"/>
  <c r="L62" i="34"/>
  <c r="M62" i="34" l="1"/>
  <c r="L61" i="34"/>
  <c r="L60" i="34" l="1"/>
  <c r="M61" i="34"/>
  <c r="L59" i="34" l="1"/>
  <c r="M60" i="34"/>
  <c r="M59" i="34" l="1"/>
  <c r="L58" i="34"/>
  <c r="M58" i="34" l="1"/>
  <c r="L57" i="34"/>
  <c r="M57" i="34" l="1"/>
  <c r="L56" i="34"/>
  <c r="M56" i="34" l="1"/>
  <c r="L55" i="34"/>
  <c r="M55" i="34" l="1"/>
  <c r="L54" i="34"/>
  <c r="M54" i="34" s="1"/>
  <c r="J43" i="25" l="1"/>
  <c r="H43" i="25"/>
  <c r="K34" i="26" l="1"/>
  <c r="K30" i="26"/>
  <c r="K31" i="26"/>
  <c r="K32" i="26"/>
  <c r="K33" i="26"/>
  <c r="K29" i="26"/>
  <c r="Q21" i="26"/>
  <c r="Q13" i="26"/>
  <c r="W24" i="32"/>
  <c r="U16" i="32"/>
  <c r="Q11" i="26" l="1"/>
  <c r="R13" i="26" s="1"/>
  <c r="R21" i="26" l="1"/>
  <c r="R11" i="26" s="1"/>
  <c r="W22" i="32" l="1"/>
  <c r="W21" i="32"/>
  <c r="W20" i="32"/>
  <c r="W19" i="32"/>
  <c r="W18" i="32"/>
  <c r="V16" i="32"/>
  <c r="W16" i="32" s="1"/>
  <c r="V14" i="32" l="1"/>
  <c r="U14" i="32"/>
  <c r="F43" i="25"/>
  <c r="F42" i="25"/>
  <c r="J49" i="6"/>
  <c r="H49" i="6"/>
  <c r="F49" i="6"/>
  <c r="W14" i="32" l="1"/>
  <c r="O21" i="26"/>
  <c r="O13" i="26"/>
  <c r="O11" i="26" s="1"/>
  <c r="T24" i="32"/>
  <c r="R14" i="32"/>
  <c r="T22" i="32"/>
  <c r="T21" i="32"/>
  <c r="T20" i="32"/>
  <c r="T19" i="32"/>
  <c r="T18" i="32"/>
  <c r="S16" i="32"/>
  <c r="R16" i="32"/>
  <c r="G13" i="10"/>
  <c r="M24" i="9"/>
  <c r="M22" i="9"/>
  <c r="M20" i="9"/>
  <c r="M18" i="9"/>
  <c r="M16" i="9"/>
  <c r="M14" i="9"/>
  <c r="J24" i="9"/>
  <c r="J22" i="9"/>
  <c r="J20" i="9"/>
  <c r="J18" i="9"/>
  <c r="J16" i="9"/>
  <c r="J14" i="9"/>
  <c r="M12" i="22"/>
  <c r="D16" i="8"/>
  <c r="D18" i="8"/>
  <c r="D22" i="8"/>
  <c r="D23" i="8"/>
  <c r="D21" i="8"/>
  <c r="D17" i="8"/>
  <c r="D11" i="8"/>
  <c r="D12" i="8"/>
  <c r="D13" i="8"/>
  <c r="D10" i="8"/>
  <c r="E24" i="31"/>
  <c r="P21" i="26" l="1"/>
  <c r="P13" i="26"/>
  <c r="T16" i="32"/>
  <c r="S14" i="32"/>
  <c r="T14" i="32" s="1"/>
  <c r="N34" i="22"/>
  <c r="N12" i="22"/>
  <c r="N35" i="22"/>
  <c r="N22" i="22"/>
  <c r="N23" i="22"/>
  <c r="N26" i="22"/>
  <c r="N15" i="22"/>
  <c r="N17" i="22"/>
  <c r="N32" i="22"/>
  <c r="N24" i="22"/>
  <c r="N14" i="22"/>
  <c r="N29" i="22"/>
  <c r="N16" i="22"/>
  <c r="N18" i="22"/>
  <c r="N33" i="22"/>
  <c r="N21" i="22"/>
  <c r="N27" i="22"/>
  <c r="N28" i="22"/>
  <c r="N30" i="22"/>
  <c r="N20" i="22"/>
  <c r="D15" i="8"/>
  <c r="D20" i="8"/>
  <c r="P11" i="26" l="1"/>
  <c r="J42" i="25"/>
  <c r="H42" i="25"/>
  <c r="F41" i="25"/>
  <c r="J48" i="6"/>
  <c r="H48" i="6"/>
  <c r="F48" i="6"/>
  <c r="E32" i="2" l="1"/>
  <c r="G32" i="2"/>
  <c r="H40" i="2" s="1"/>
  <c r="C32" i="2"/>
  <c r="D39" i="2" s="1"/>
  <c r="E12" i="1"/>
  <c r="F14" i="1" s="1"/>
  <c r="G12" i="1"/>
  <c r="E12" i="2"/>
  <c r="F20" i="2" s="1"/>
  <c r="G12" i="2"/>
  <c r="H17" i="2" s="1"/>
  <c r="C12" i="2"/>
  <c r="D15" i="2" s="1"/>
  <c r="E30" i="1"/>
  <c r="F32" i="1" s="1"/>
  <c r="G30" i="1"/>
  <c r="H32" i="1" s="1"/>
  <c r="C30" i="1"/>
  <c r="D34" i="1" s="1"/>
  <c r="C12" i="1"/>
  <c r="D15" i="1" s="1"/>
  <c r="D18" i="2" l="1"/>
  <c r="D20" i="2"/>
  <c r="H37" i="1"/>
  <c r="H18" i="1"/>
  <c r="D16" i="1"/>
  <c r="D35" i="1"/>
  <c r="D17" i="1"/>
  <c r="D36" i="1"/>
  <c r="D19" i="2"/>
  <c r="D40" i="2"/>
  <c r="D37" i="1"/>
  <c r="D41" i="2"/>
  <c r="D33" i="1"/>
  <c r="D16" i="2"/>
  <c r="H41" i="2"/>
  <c r="D32" i="1"/>
  <c r="D17" i="2"/>
  <c r="H35" i="2"/>
  <c r="H36" i="2"/>
  <c r="H38" i="2"/>
  <c r="H37" i="2"/>
  <c r="H34" i="2"/>
  <c r="H39" i="2"/>
  <c r="F36" i="2"/>
  <c r="F39" i="2"/>
  <c r="F34" i="2"/>
  <c r="F35" i="2"/>
  <c r="F37" i="2"/>
  <c r="F38" i="2"/>
  <c r="F40" i="2"/>
  <c r="F41" i="2"/>
  <c r="D37" i="2"/>
  <c r="D35" i="2"/>
  <c r="D34" i="2"/>
  <c r="D38" i="2"/>
  <c r="D36" i="2"/>
  <c r="H19" i="2"/>
  <c r="H18" i="2"/>
  <c r="H20" i="2"/>
  <c r="H21" i="2"/>
  <c r="H15" i="2"/>
  <c r="H16" i="2"/>
  <c r="H14" i="2"/>
  <c r="F21" i="2"/>
  <c r="F15" i="2"/>
  <c r="F16" i="2"/>
  <c r="F14" i="2"/>
  <c r="F17" i="2"/>
  <c r="F18" i="2"/>
  <c r="F19" i="2"/>
  <c r="D21" i="2"/>
  <c r="D14" i="2"/>
  <c r="H33" i="1"/>
  <c r="H35" i="1"/>
  <c r="H34" i="1"/>
  <c r="H36" i="1"/>
  <c r="F33" i="1"/>
  <c r="F34" i="1"/>
  <c r="F35" i="1"/>
  <c r="F36" i="1"/>
  <c r="F37" i="1"/>
  <c r="D18" i="1"/>
  <c r="H19" i="1"/>
  <c r="H14" i="1"/>
  <c r="H15" i="1"/>
  <c r="H16" i="1"/>
  <c r="H17" i="1"/>
  <c r="F15" i="1"/>
  <c r="F17" i="1"/>
  <c r="F16" i="1"/>
  <c r="F18" i="1"/>
  <c r="F19" i="1"/>
  <c r="D19" i="1"/>
  <c r="D14" i="1"/>
  <c r="M21" i="26"/>
  <c r="M13" i="26"/>
  <c r="Q24" i="32"/>
  <c r="Q22" i="32"/>
  <c r="Q21" i="32"/>
  <c r="Q20" i="32"/>
  <c r="Q19" i="32"/>
  <c r="Q18" i="32"/>
  <c r="O16" i="32"/>
  <c r="O14" i="32" s="1"/>
  <c r="P16" i="32"/>
  <c r="P14" i="32" s="1"/>
  <c r="J41" i="25"/>
  <c r="H41" i="25"/>
  <c r="H47" i="6"/>
  <c r="F47" i="6"/>
  <c r="F45" i="6"/>
  <c r="D30" i="1" l="1"/>
  <c r="F30" i="1"/>
  <c r="F12" i="1"/>
  <c r="H30" i="1"/>
  <c r="Q14" i="32"/>
  <c r="Q16" i="32"/>
  <c r="H12" i="2"/>
  <c r="F32" i="2"/>
  <c r="D12" i="1"/>
  <c r="D12" i="2"/>
  <c r="D32" i="2"/>
  <c r="H32" i="2"/>
  <c r="F12" i="2"/>
  <c r="H12" i="1"/>
  <c r="M11" i="26"/>
  <c r="N21" i="26" s="1"/>
  <c r="K13" i="26"/>
  <c r="K21" i="26"/>
  <c r="N13" i="26" l="1"/>
  <c r="N11" i="26" s="1"/>
  <c r="K11" i="26"/>
  <c r="L13" i="26" s="1"/>
  <c r="N24" i="32"/>
  <c r="N22" i="32"/>
  <c r="N21" i="32"/>
  <c r="N20" i="32"/>
  <c r="N19" i="32"/>
  <c r="N18" i="32"/>
  <c r="M16" i="32"/>
  <c r="M14" i="32" s="1"/>
  <c r="L16" i="32"/>
  <c r="L14" i="32" s="1"/>
  <c r="L21" i="26" l="1"/>
  <c r="N14" i="32"/>
  <c r="N16" i="32"/>
  <c r="L24" i="26"/>
  <c r="L23" i="26"/>
  <c r="L19" i="26"/>
  <c r="L18" i="26"/>
  <c r="L17" i="26"/>
  <c r="L16" i="26"/>
  <c r="L15" i="26"/>
  <c r="L11" i="26"/>
  <c r="J39" i="25"/>
  <c r="H39" i="25"/>
  <c r="F39" i="25"/>
  <c r="I45" i="6"/>
  <c r="J45" i="6" s="1"/>
  <c r="H45" i="6"/>
  <c r="J29" i="26" l="1"/>
  <c r="J30" i="26"/>
  <c r="J31" i="26"/>
  <c r="J32" i="26"/>
  <c r="J33" i="26"/>
  <c r="J34" i="26"/>
  <c r="K35" i="26"/>
  <c r="E10" i="6"/>
  <c r="J10" i="6" s="1"/>
  <c r="H10" i="6"/>
  <c r="F10" i="6" l="1"/>
  <c r="K22" i="32"/>
  <c r="K21" i="32"/>
  <c r="K20" i="32"/>
  <c r="K19" i="32"/>
  <c r="K18" i="32"/>
  <c r="J16" i="32"/>
  <c r="K24" i="32"/>
  <c r="J14" i="32" l="1"/>
  <c r="I16" i="32"/>
  <c r="K16" i="32" s="1"/>
  <c r="H38" i="25"/>
  <c r="J38" i="25"/>
  <c r="F38" i="25"/>
  <c r="J44" i="6"/>
  <c r="H44" i="6"/>
  <c r="F44" i="6"/>
  <c r="I14" i="32" l="1"/>
  <c r="K14" i="32" s="1"/>
  <c r="K26" i="32"/>
  <c r="K27" i="32"/>
  <c r="H24" i="32" l="1"/>
  <c r="H22" i="32"/>
  <c r="H21" i="32"/>
  <c r="H20" i="32"/>
  <c r="H19" i="32"/>
  <c r="H18" i="32"/>
  <c r="G16" i="32"/>
  <c r="G14" i="32" s="1"/>
  <c r="C16" i="32"/>
  <c r="F16" i="32"/>
  <c r="F14" i="32" s="1"/>
  <c r="H14" i="32" l="1"/>
  <c r="H16" i="32"/>
  <c r="G21" i="26"/>
  <c r="G13" i="26"/>
  <c r="J37" i="25"/>
  <c r="H37" i="25"/>
  <c r="F37" i="25"/>
  <c r="H43" i="6"/>
  <c r="F43" i="6"/>
  <c r="I43" i="6"/>
  <c r="J43" i="6" s="1"/>
  <c r="G11" i="26" l="1"/>
  <c r="H13" i="26" s="1"/>
  <c r="H26" i="32"/>
  <c r="H27" i="32"/>
  <c r="H17" i="26" l="1"/>
  <c r="H15" i="26"/>
  <c r="H23" i="26"/>
  <c r="H16" i="26"/>
  <c r="H19" i="26"/>
  <c r="H24" i="26"/>
  <c r="H18" i="26"/>
  <c r="E27" i="32"/>
  <c r="E26" i="32"/>
  <c r="D24" i="32"/>
  <c r="C24" i="32"/>
  <c r="C14" i="32" s="1"/>
  <c r="E22" i="32"/>
  <c r="E21" i="32"/>
  <c r="E20" i="32"/>
  <c r="E19" i="32"/>
  <c r="E18" i="32"/>
  <c r="D16" i="32"/>
  <c r="E16" i="32" s="1"/>
  <c r="C13" i="26"/>
  <c r="E13" i="26"/>
  <c r="E21" i="26"/>
  <c r="J36" i="25"/>
  <c r="H36" i="25"/>
  <c r="F36" i="25"/>
  <c r="F35" i="25"/>
  <c r="J42" i="6"/>
  <c r="H42" i="6"/>
  <c r="H41" i="6"/>
  <c r="F42" i="6"/>
  <c r="F41" i="6"/>
  <c r="E11" i="26" l="1"/>
  <c r="D14" i="32"/>
  <c r="E14" i="32" s="1"/>
  <c r="F21" i="26"/>
  <c r="F17" i="26"/>
  <c r="F24" i="26"/>
  <c r="F18" i="26"/>
  <c r="F23" i="26"/>
  <c r="F19" i="26"/>
  <c r="F16" i="26"/>
  <c r="F15" i="26"/>
  <c r="H21" i="26"/>
  <c r="E24" i="32"/>
  <c r="F13" i="26"/>
  <c r="C21" i="26" l="1"/>
  <c r="C11" i="26" l="1"/>
  <c r="J35" i="25"/>
  <c r="H35" i="25"/>
  <c r="J41" i="6"/>
  <c r="D24" i="26" l="1"/>
  <c r="D18" i="26"/>
  <c r="D23" i="26"/>
  <c r="D19" i="26"/>
  <c r="D16" i="26"/>
  <c r="D15" i="26"/>
  <c r="D17" i="26"/>
  <c r="D13" i="26"/>
  <c r="D21" i="26"/>
  <c r="J33" i="25"/>
  <c r="H33" i="25"/>
  <c r="F33" i="25"/>
  <c r="F39" i="6"/>
  <c r="H39" i="6"/>
  <c r="J39" i="6"/>
  <c r="J32" i="25"/>
  <c r="H32" i="25"/>
  <c r="F32" i="25"/>
  <c r="J38" i="6"/>
  <c r="H38" i="6"/>
  <c r="F38" i="6"/>
  <c r="L14" i="9"/>
  <c r="L16" i="9"/>
  <c r="L18" i="9"/>
  <c r="L20" i="9"/>
  <c r="L22" i="9"/>
  <c r="L24" i="9"/>
  <c r="L35" i="22"/>
  <c r="G17" i="11"/>
  <c r="J31" i="25"/>
  <c r="H31" i="25"/>
  <c r="J37" i="6"/>
  <c r="H37" i="6"/>
  <c r="E13" i="31"/>
  <c r="E14" i="31"/>
  <c r="E15" i="31"/>
  <c r="E16" i="31"/>
  <c r="E17" i="31"/>
  <c r="E18" i="31"/>
  <c r="E19" i="31"/>
  <c r="E20" i="31"/>
  <c r="E21" i="31"/>
  <c r="E23" i="31"/>
  <c r="E22" i="31"/>
  <c r="G21" i="6"/>
  <c r="I21" i="6" s="1"/>
  <c r="J21" i="6" s="1"/>
  <c r="E30" i="6"/>
  <c r="E31" i="6"/>
  <c r="H31" i="6" s="1"/>
  <c r="E32" i="6"/>
  <c r="H32" i="6" s="1"/>
  <c r="E33" i="6"/>
  <c r="J33" i="6"/>
  <c r="E35" i="6"/>
  <c r="J35" i="6" s="1"/>
  <c r="E36" i="6"/>
  <c r="F37" i="6" s="1"/>
  <c r="E25" i="25"/>
  <c r="J25" i="25" s="1"/>
  <c r="E26" i="25"/>
  <c r="J26" i="25" s="1"/>
  <c r="E27" i="25"/>
  <c r="J27" i="25" s="1"/>
  <c r="E29" i="25"/>
  <c r="H29" i="25" s="1"/>
  <c r="E30" i="25"/>
  <c r="F31" i="25" s="1"/>
  <c r="E24" i="25"/>
  <c r="J24" i="25" s="1"/>
  <c r="E23" i="25"/>
  <c r="H23" i="25" s="1"/>
  <c r="E21" i="25"/>
  <c r="H21" i="25" s="1"/>
  <c r="E20" i="25"/>
  <c r="J20" i="25" s="1"/>
  <c r="E19" i="25"/>
  <c r="E18" i="25"/>
  <c r="H18" i="25" s="1"/>
  <c r="E17" i="25"/>
  <c r="H17" i="25"/>
  <c r="E15" i="25"/>
  <c r="J15" i="25" s="1"/>
  <c r="E14" i="25"/>
  <c r="J14" i="25" s="1"/>
  <c r="E13" i="25"/>
  <c r="H13" i="25" s="1"/>
  <c r="E12" i="25"/>
  <c r="H12" i="25" s="1"/>
  <c r="E11" i="25"/>
  <c r="J11" i="25" s="1"/>
  <c r="L14" i="22"/>
  <c r="L15" i="22"/>
  <c r="L16" i="22"/>
  <c r="L17" i="22"/>
  <c r="L18" i="22"/>
  <c r="L20" i="22"/>
  <c r="L21" i="22"/>
  <c r="L22" i="22"/>
  <c r="L23" i="22"/>
  <c r="L24" i="22"/>
  <c r="L26" i="22"/>
  <c r="L27" i="22"/>
  <c r="L28" i="22"/>
  <c r="L29" i="22"/>
  <c r="L30" i="22"/>
  <c r="L32" i="22"/>
  <c r="L33" i="22"/>
  <c r="L34" i="22"/>
  <c r="L12" i="22"/>
  <c r="I12" i="22"/>
  <c r="J33" i="22" s="1"/>
  <c r="G12" i="22"/>
  <c r="H15" i="22" s="1"/>
  <c r="E12" i="22"/>
  <c r="F18" i="22" s="1"/>
  <c r="C12" i="22"/>
  <c r="D15" i="22" s="1"/>
  <c r="I17" i="10"/>
  <c r="G17" i="10"/>
  <c r="E17" i="10"/>
  <c r="I16" i="10"/>
  <c r="G16" i="10"/>
  <c r="E16" i="10"/>
  <c r="I15" i="10"/>
  <c r="G15" i="10"/>
  <c r="E15" i="10"/>
  <c r="I13" i="10"/>
  <c r="E13" i="10"/>
  <c r="K12" i="9"/>
  <c r="K14" i="9"/>
  <c r="K16" i="9"/>
  <c r="K18" i="9"/>
  <c r="K20" i="9"/>
  <c r="K22" i="9"/>
  <c r="K24" i="9"/>
  <c r="I24" i="9"/>
  <c r="I22" i="9"/>
  <c r="I20" i="9"/>
  <c r="I18" i="9"/>
  <c r="I16" i="9"/>
  <c r="I14" i="9"/>
  <c r="F12" i="9"/>
  <c r="E29" i="6"/>
  <c r="J29" i="6" s="1"/>
  <c r="J27" i="6"/>
  <c r="H27" i="6"/>
  <c r="F27" i="6"/>
  <c r="J26" i="6"/>
  <c r="H26" i="6"/>
  <c r="F26" i="6"/>
  <c r="J25" i="6"/>
  <c r="F25" i="6"/>
  <c r="G24" i="6"/>
  <c r="H24" i="6" s="1"/>
  <c r="F24" i="6"/>
  <c r="G23" i="6"/>
  <c r="H23" i="6" s="1"/>
  <c r="F23" i="6"/>
  <c r="F21" i="6"/>
  <c r="G20" i="6"/>
  <c r="I20" i="6" s="1"/>
  <c r="J20" i="6" s="1"/>
  <c r="F20" i="6"/>
  <c r="G19" i="6"/>
  <c r="H19" i="6" s="1"/>
  <c r="F19" i="6"/>
  <c r="J18" i="6"/>
  <c r="G18" i="6"/>
  <c r="H18" i="6" s="1"/>
  <c r="E17" i="6"/>
  <c r="F18" i="6" s="1"/>
  <c r="E15" i="6"/>
  <c r="H15" i="6" s="1"/>
  <c r="E14" i="6"/>
  <c r="H14" i="6" s="1"/>
  <c r="E13" i="6"/>
  <c r="J13" i="6" s="1"/>
  <c r="E12" i="6"/>
  <c r="J12" i="6" s="1"/>
  <c r="E11" i="6"/>
  <c r="J11" i="6" s="1"/>
  <c r="F21" i="22"/>
  <c r="H23" i="22"/>
  <c r="D24" i="22"/>
  <c r="F34" i="22"/>
  <c r="F17" i="22"/>
  <c r="J26" i="22"/>
  <c r="J15" i="22" l="1"/>
  <c r="J23" i="25"/>
  <c r="J12" i="9"/>
  <c r="L12" i="9"/>
  <c r="I12" i="9"/>
  <c r="M12" i="9"/>
  <c r="F33" i="6"/>
  <c r="H20" i="25"/>
  <c r="H35" i="6"/>
  <c r="F33" i="22"/>
  <c r="J32" i="22"/>
  <c r="J18" i="22"/>
  <c r="J34" i="22"/>
  <c r="J21" i="22"/>
  <c r="H21" i="6"/>
  <c r="J12" i="22"/>
  <c r="J35" i="22"/>
  <c r="J16" i="22"/>
  <c r="F23" i="22"/>
  <c r="J28" i="22"/>
  <c r="J14" i="22"/>
  <c r="J30" i="22"/>
  <c r="H30" i="22"/>
  <c r="H14" i="22"/>
  <c r="H32" i="22"/>
  <c r="H16" i="22"/>
  <c r="H34" i="22"/>
  <c r="H21" i="22"/>
  <c r="F12" i="25"/>
  <c r="F27" i="22"/>
  <c r="F12" i="22"/>
  <c r="H14" i="25"/>
  <c r="J13" i="25"/>
  <c r="F13" i="25"/>
  <c r="H11" i="25"/>
  <c r="H15" i="25"/>
  <c r="H30" i="25"/>
  <c r="H12" i="22"/>
  <c r="D32" i="22"/>
  <c r="H18" i="22"/>
  <c r="F29" i="22"/>
  <c r="F15" i="22"/>
  <c r="F18" i="25"/>
  <c r="F19" i="25"/>
  <c r="F22" i="22"/>
  <c r="F24" i="22"/>
  <c r="J23" i="22"/>
  <c r="F29" i="25"/>
  <c r="D23" i="22"/>
  <c r="H20" i="22"/>
  <c r="H29" i="22"/>
  <c r="J17" i="22"/>
  <c r="F21" i="25"/>
  <c r="F28" i="22"/>
  <c r="F20" i="22"/>
  <c r="D14" i="22"/>
  <c r="H17" i="22"/>
  <c r="H27" i="22"/>
  <c r="J19" i="25"/>
  <c r="J17" i="25"/>
  <c r="H22" i="22"/>
  <c r="F26" i="22"/>
  <c r="H24" i="22"/>
  <c r="J27" i="22"/>
  <c r="F14" i="22"/>
  <c r="J22" i="22"/>
  <c r="H26" i="22"/>
  <c r="F30" i="22"/>
  <c r="J29" i="22"/>
  <c r="F16" i="22"/>
  <c r="J18" i="25"/>
  <c r="F20" i="25"/>
  <c r="H33" i="22"/>
  <c r="J20" i="22"/>
  <c r="J24" i="22"/>
  <c r="H28" i="22"/>
  <c r="F32" i="22"/>
  <c r="J14" i="6"/>
  <c r="J36" i="6"/>
  <c r="H11" i="6"/>
  <c r="J17" i="6"/>
  <c r="H36" i="6"/>
  <c r="J31" i="6"/>
  <c r="F31" i="6"/>
  <c r="I19" i="6"/>
  <c r="J19" i="6" s="1"/>
  <c r="H30" i="6"/>
  <c r="F35" i="6"/>
  <c r="F30" i="6"/>
  <c r="F36" i="6"/>
  <c r="F14" i="6"/>
  <c r="H17" i="6"/>
  <c r="F29" i="6"/>
  <c r="I23" i="6"/>
  <c r="J23" i="6" s="1"/>
  <c r="H29" i="6"/>
  <c r="F32" i="6"/>
  <c r="F11" i="6"/>
  <c r="H20" i="6"/>
  <c r="H13" i="6"/>
  <c r="F12" i="6"/>
  <c r="F15" i="6"/>
  <c r="H12" i="6"/>
  <c r="J15" i="6"/>
  <c r="J32" i="6"/>
  <c r="H33" i="6"/>
  <c r="F17" i="6"/>
  <c r="D17" i="22"/>
  <c r="D26" i="22"/>
  <c r="D34" i="22"/>
  <c r="D16" i="22"/>
  <c r="D27" i="22"/>
  <c r="D20" i="22"/>
  <c r="D28" i="22"/>
  <c r="D12" i="22"/>
  <c r="D18" i="22"/>
  <c r="D29" i="22"/>
  <c r="D22" i="22"/>
  <c r="D30" i="22"/>
  <c r="D21" i="22"/>
  <c r="D33" i="22"/>
  <c r="J21" i="25"/>
  <c r="H26" i="25"/>
  <c r="J12" i="25"/>
  <c r="F17" i="25"/>
  <c r="F26" i="25"/>
  <c r="H19" i="25"/>
  <c r="F15" i="25"/>
  <c r="J29" i="25"/>
  <c r="F13" i="6"/>
  <c r="I24" i="6"/>
  <c r="J24" i="6" s="1"/>
  <c r="F24" i="25"/>
  <c r="H24" i="25"/>
  <c r="F25" i="25"/>
  <c r="F14" i="25"/>
  <c r="H27" i="25"/>
  <c r="F27" i="25"/>
  <c r="F30" i="25"/>
  <c r="H25" i="25"/>
  <c r="J30" i="25"/>
  <c r="J30" i="6"/>
</calcChain>
</file>

<file path=xl/sharedStrings.xml><?xml version="1.0" encoding="utf-8"?>
<sst xmlns="http://schemas.openxmlformats.org/spreadsheetml/2006/main" count="917" uniqueCount="338">
  <si>
    <t>District</t>
  </si>
  <si>
    <t>Total</t>
  </si>
  <si>
    <t>Male</t>
  </si>
  <si>
    <t>Female</t>
  </si>
  <si>
    <t>#</t>
  </si>
  <si>
    <t>%</t>
  </si>
  <si>
    <t>George Town</t>
  </si>
  <si>
    <t>West Bay</t>
  </si>
  <si>
    <t>Bodden Town</t>
  </si>
  <si>
    <t>East End</t>
  </si>
  <si>
    <t>North Side</t>
  </si>
  <si>
    <t>Sister Islands</t>
  </si>
  <si>
    <t>Caymanian</t>
  </si>
  <si>
    <t>Non-Caymanian</t>
  </si>
  <si>
    <t>0-14</t>
  </si>
  <si>
    <t>15-24</t>
  </si>
  <si>
    <t>25-34</t>
  </si>
  <si>
    <t>35-44</t>
  </si>
  <si>
    <t>45-54</t>
  </si>
  <si>
    <t>55-64</t>
  </si>
  <si>
    <t>65+</t>
  </si>
  <si>
    <t>Cayman Islands</t>
  </si>
  <si>
    <t>Year</t>
  </si>
  <si>
    <t>Resident Population</t>
  </si>
  <si>
    <t>Annual Increase</t>
  </si>
  <si>
    <t xml:space="preserve">Caymanian </t>
  </si>
  <si>
    <t xml:space="preserve">Non-Caymanian </t>
  </si>
  <si>
    <t>*</t>
  </si>
  <si>
    <t>**</t>
  </si>
  <si>
    <t xml:space="preserve">1.01a </t>
  </si>
  <si>
    <t>1.01b</t>
  </si>
  <si>
    <t>Notes:</t>
  </si>
  <si>
    <t xml:space="preserve">* </t>
  </si>
  <si>
    <t xml:space="preserve">End of year estimate includes Grand Cayman (post Hurricane Ivan) and Cayman Brac estimate. The drop </t>
  </si>
  <si>
    <t>The sharp increase in population is related to the return of residents who left after Ivan, and the increase in</t>
  </si>
  <si>
    <t xml:space="preserve">the labour force needed for the reconstruction of the country. </t>
  </si>
  <si>
    <t>1.02c</t>
  </si>
  <si>
    <t xml:space="preserve">1.02b </t>
  </si>
  <si>
    <r>
      <rPr>
        <b/>
        <sz val="10"/>
        <rFont val="Arial"/>
        <family val="2"/>
      </rPr>
      <t>Source:</t>
    </r>
    <r>
      <rPr>
        <sz val="10"/>
        <color theme="1"/>
        <rFont val="Arial"/>
        <family val="2"/>
      </rPr>
      <t xml:space="preserve">  Economics and Statistics Office (ESO)</t>
    </r>
  </si>
  <si>
    <t>Annual % growth</t>
  </si>
  <si>
    <t xml:space="preserve">Percentage growth </t>
  </si>
  <si>
    <t>Note:</t>
  </si>
  <si>
    <t>Annual % growth is calculated using the formula for geometric growth</t>
  </si>
  <si>
    <t>Area</t>
  </si>
  <si>
    <t>Island</t>
  </si>
  <si>
    <t>Sq. miles</t>
  </si>
  <si>
    <t>Population</t>
  </si>
  <si>
    <t>Density</t>
  </si>
  <si>
    <t>Grand Cayman</t>
  </si>
  <si>
    <t>Cayman Brac</t>
  </si>
  <si>
    <t>Little Cayman</t>
  </si>
  <si>
    <t>Age Group</t>
  </si>
  <si>
    <t>&lt;15</t>
  </si>
  <si>
    <t>15-64</t>
  </si>
  <si>
    <t>Dependency ratio</t>
  </si>
  <si>
    <t xml:space="preserve"> </t>
  </si>
  <si>
    <t xml:space="preserve">The dependency ratio is the number of persons under the age of 15 and over the age of 64 divided </t>
  </si>
  <si>
    <t>Country</t>
  </si>
  <si>
    <t xml:space="preserve">Census year </t>
  </si>
  <si>
    <t>Belize</t>
  </si>
  <si>
    <t>Barbados</t>
  </si>
  <si>
    <t>Bermuda</t>
  </si>
  <si>
    <t>Guyana</t>
  </si>
  <si>
    <t>Jamaica</t>
  </si>
  <si>
    <t>Saint Lucia</t>
  </si>
  <si>
    <t>Suriname</t>
  </si>
  <si>
    <t>Number</t>
  </si>
  <si>
    <t>Percent</t>
  </si>
  <si>
    <t>Not Stated</t>
  </si>
  <si>
    <t>15 - 19</t>
  </si>
  <si>
    <t>-</t>
  </si>
  <si>
    <t>20 - 24</t>
  </si>
  <si>
    <t>25 - 29</t>
  </si>
  <si>
    <t>30 - 34</t>
  </si>
  <si>
    <t>35 - 39</t>
  </si>
  <si>
    <t>40 - 44</t>
  </si>
  <si>
    <t>45 - 49</t>
  </si>
  <si>
    <t>70 - 74</t>
  </si>
  <si>
    <t>75 - 79</t>
  </si>
  <si>
    <t>80 - 84</t>
  </si>
  <si>
    <t>85+</t>
  </si>
  <si>
    <t xml:space="preserve"> 0  -  4</t>
  </si>
  <si>
    <t xml:space="preserve"> 5  -  9</t>
  </si>
  <si>
    <t>10 - 14</t>
  </si>
  <si>
    <t>50 - 54</t>
  </si>
  <si>
    <t>55 - 59</t>
  </si>
  <si>
    <t>60 - 64</t>
  </si>
  <si>
    <t>65 - 69</t>
  </si>
  <si>
    <t>NS</t>
  </si>
  <si>
    <t>STATISTICAL COMPENDIUM 2008</t>
  </si>
  <si>
    <t>POPULATION AND VITAL STATISTICS</t>
  </si>
  <si>
    <t>15 - 29</t>
  </si>
  <si>
    <t>0 - 14</t>
  </si>
  <si>
    <t>30 - 49</t>
  </si>
  <si>
    <t>50 - 64</t>
  </si>
  <si>
    <t>2010            Cayman Islands</t>
  </si>
  <si>
    <t>Non Caymanian</t>
  </si>
  <si>
    <t>Under 1 year</t>
  </si>
  <si>
    <t>Total Population</t>
  </si>
  <si>
    <t>Age group</t>
  </si>
  <si>
    <t>Annual Growth</t>
  </si>
  <si>
    <t xml:space="preserve">Percent Growth </t>
  </si>
  <si>
    <t xml:space="preserve">Population density is measured as persons per square mile. </t>
  </si>
  <si>
    <t xml:space="preserve">Cayman Islands </t>
  </si>
  <si>
    <t xml:space="preserve">Grand Cayman </t>
  </si>
  <si>
    <t xml:space="preserve">Sister Islands </t>
  </si>
  <si>
    <t>HH Count</t>
  </si>
  <si>
    <t>STATISTICAL COMPENDIUM 2012</t>
  </si>
  <si>
    <t xml:space="preserve"> 1  -  4</t>
  </si>
  <si>
    <t>'89 - '99</t>
  </si>
  <si>
    <t>'99 - '10</t>
  </si>
  <si>
    <t xml:space="preserve">by the number of persons in the age group 15-64 years, in percent. </t>
  </si>
  <si>
    <r>
      <rPr>
        <b/>
        <sz val="10"/>
        <rFont val="Arial"/>
        <family val="2"/>
      </rPr>
      <t xml:space="preserve">Source: </t>
    </r>
    <r>
      <rPr>
        <sz val="10"/>
        <rFont val="Arial"/>
        <family val="2"/>
      </rPr>
      <t xml:space="preserve"> Economics and Statistics Office</t>
    </r>
  </si>
  <si>
    <t>in population level is related to the temporary relocation of residents abroad in the aftermath of Hurricane Ivan.</t>
  </si>
  <si>
    <t>Figure 1.02</t>
  </si>
  <si>
    <t>Figure 1.01</t>
  </si>
  <si>
    <t>During 2002 to 2004 a large number of persons was granted Caymanian Status.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</si>
  <si>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Economics and Statistics Office</t>
    </r>
  </si>
  <si>
    <t>Average HH Size</t>
  </si>
  <si>
    <r>
      <t xml:space="preserve">Note: </t>
    </r>
    <r>
      <rPr>
        <sz val="10"/>
        <rFont val="Arial"/>
        <family val="2"/>
      </rPr>
      <t>Households (HH)</t>
    </r>
  </si>
  <si>
    <t>End of Year Population Estimates by District and Age Group, 2013 cont'd</t>
  </si>
  <si>
    <t>x</t>
  </si>
  <si>
    <t>DK/NS</t>
  </si>
  <si>
    <t>Dependency Ratio</t>
  </si>
  <si>
    <t>..</t>
  </si>
  <si>
    <t>0 - 9</t>
  </si>
  <si>
    <t>10 - 19</t>
  </si>
  <si>
    <t>20 - 29</t>
  </si>
  <si>
    <t>30 - 39</t>
  </si>
  <si>
    <t>40 - 49</t>
  </si>
  <si>
    <t>50 - 59</t>
  </si>
  <si>
    <t>60+</t>
  </si>
  <si>
    <t>2021            Cayman Islands</t>
  </si>
  <si>
    <t>Population by Age Group, Census Years 1970 -  2021</t>
  </si>
  <si>
    <t>10 - '21</t>
  </si>
  <si>
    <t>Population Growth Rate by District, Census Years 1989 -  2021</t>
  </si>
  <si>
    <t>Population in Census Years, 1802 -  2021</t>
  </si>
  <si>
    <t>Population Growth in Census Years, 1802 -  2021</t>
  </si>
  <si>
    <t>+</t>
  </si>
  <si>
    <t>+1999</t>
  </si>
  <si>
    <t>+2010</t>
  </si>
  <si>
    <t>+2021</t>
  </si>
  <si>
    <t>Census - actual population count</t>
  </si>
  <si>
    <t>Population by Age, Sex and Status, 2022</t>
  </si>
  <si>
    <t>Bahamas</t>
  </si>
  <si>
    <t>Dominica</t>
  </si>
  <si>
    <t>Grenada</t>
  </si>
  <si>
    <t>Monsterrat</t>
  </si>
  <si>
    <t>St Kitts and Nevis</t>
  </si>
  <si>
    <t>St Vincent</t>
  </si>
  <si>
    <t>Trinidad and Tobago</t>
  </si>
  <si>
    <t>Anguilla</t>
  </si>
  <si>
    <t>BVI</t>
  </si>
  <si>
    <t>Turks and Caicos Islands</t>
  </si>
  <si>
    <r>
      <rPr>
        <b/>
        <sz val="10"/>
        <color theme="1"/>
        <rFont val="Arial"/>
        <family val="2"/>
      </rPr>
      <t>Source:</t>
    </r>
    <r>
      <rPr>
        <sz val="10"/>
        <color theme="1"/>
        <rFont val="Arial"/>
        <family val="2"/>
      </rPr>
      <t xml:space="preserve"> National Statistical Offices websites (latest data available)</t>
    </r>
  </si>
  <si>
    <t>Age 0</t>
  </si>
  <si>
    <t>Ages 1-4</t>
  </si>
  <si>
    <t>Age</t>
  </si>
  <si>
    <t>Deaths</t>
  </si>
  <si>
    <t>Age,</t>
  </si>
  <si>
    <t>Width,</t>
  </si>
  <si>
    <t>n</t>
  </si>
  <si>
    <t>nMx</t>
  </si>
  <si>
    <t xml:space="preserve">    nax</t>
  </si>
  <si>
    <t>nqx</t>
  </si>
  <si>
    <t xml:space="preserve"> lx</t>
  </si>
  <si>
    <t>ndx</t>
  </si>
  <si>
    <t>nLx</t>
  </si>
  <si>
    <t>5Px</t>
  </si>
  <si>
    <t xml:space="preserve"> Tx</t>
  </si>
  <si>
    <t xml:space="preserve"> ex</t>
  </si>
  <si>
    <t>0</t>
  </si>
  <si>
    <t>1</t>
  </si>
  <si>
    <t>5</t>
  </si>
  <si>
    <t>10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</si>
  <si>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</si>
  <si>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</si>
  <si>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</si>
  <si>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</si>
  <si>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</si>
  <si>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</si>
  <si>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</si>
  <si>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</si>
  <si>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</si>
  <si>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</si>
  <si>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nMx = Age-specific central death rate.</t>
  </si>
  <si>
    <t>nax = Average person-years lived by those who die between ages x</t>
  </si>
  <si>
    <t xml:space="preserve">      and x+n.</t>
  </si>
  <si>
    <t>nqx = Probability of dying between exact ages x and x+n</t>
  </si>
  <si>
    <t xml:space="preserve">      (age-specific mortality rate).</t>
  </si>
  <si>
    <t xml:space="preserve"> lx = Number of survivors at age x.</t>
  </si>
  <si>
    <t>ndx = Number of deaths occurring between ages x and x+n.</t>
  </si>
  <si>
    <t>nLx = Number of person-years lived between ages x and x+n.</t>
  </si>
  <si>
    <t>5Px = Survival ratio for persons aged x to x+5 surviving 5 years to</t>
  </si>
  <si>
    <t xml:space="preserve">      ages x+5 to x+10 = 5Lx+5/5Lx (first 5Px = 5L0/5l0, </t>
  </si>
  <si>
    <t xml:space="preserve">      second 5Px= 5L5/5L0, last 5Px = Tx+5/Tx).</t>
  </si>
  <si>
    <t xml:space="preserve"> Tx = Number of person-years lived after age x.</t>
  </si>
  <si>
    <t xml:space="preserve"> ex = Life expectancy at age x.</t>
  </si>
  <si>
    <t>Separation factors:</t>
  </si>
  <si>
    <t>D.  Smoothed Abridged Life Table Based on Deaths and Population:</t>
  </si>
  <si>
    <t>ndx = Number of deaths occurring between ages x and x=n.</t>
  </si>
  <si>
    <t>nMx values were smoothed for ages 15+ based on a moving average of the</t>
  </si>
  <si>
    <t xml:space="preserve">      logs:  smoothed 5Mx = 1/3 [5Mx-5+5Mx+5Mx+5]</t>
  </si>
  <si>
    <t>PRESS PgDn FOR FURTHER INSTRUCTIONS</t>
  </si>
  <si>
    <t>**** I N P U T ****</t>
  </si>
  <si>
    <t>CELL</t>
  </si>
  <si>
    <t>ITEM</t>
  </si>
  <si>
    <t>---------</t>
  </si>
  <si>
    <t>A1</t>
  </si>
  <si>
    <t>Table number.  Type both "Table" and the number.</t>
  </si>
  <si>
    <t>A2</t>
  </si>
  <si>
    <t xml:space="preserve">Country name and year (e.g. Burundi:  1975).  </t>
  </si>
  <si>
    <t xml:space="preserve"> Type over "COUNTRY:  YEAR".</t>
  </si>
  <si>
    <t>D7</t>
  </si>
  <si>
    <t>Sex code: Male=1, Female=2, Both sexes=3.</t>
  </si>
  <si>
    <t>D8</t>
  </si>
  <si>
    <t xml:space="preserve">Infant mortality rate (infant deaths per birth). </t>
  </si>
  <si>
    <t xml:space="preserve"> Enter an adjusted estimate of the infant mortality</t>
  </si>
  <si>
    <t xml:space="preserve"> rate, if it is available, based on births and infant</t>
  </si>
  <si>
    <t xml:space="preserve"> deaths or indirect estimates.  Enter 0 if no</t>
  </si>
  <si>
    <t xml:space="preserve"> estimate of the infant mortality rate is available.</t>
  </si>
  <si>
    <t>D12</t>
  </si>
  <si>
    <t>Code for separation factors: West=1, North=2, East=3,</t>
  </si>
  <si>
    <t xml:space="preserve"> South=4, Empirical=5.</t>
  </si>
  <si>
    <t>D13</t>
  </si>
  <si>
    <t xml:space="preserve">Separation factor for age 0.  Enter only if code=5 for </t>
  </si>
  <si>
    <t xml:space="preserve"> cell D12.</t>
  </si>
  <si>
    <t>**** I N P U T (continued) ****</t>
  </si>
  <si>
    <t>D14</t>
  </si>
  <si>
    <t>Separation factor for ages 1 to 4 years.  Enter only if</t>
  </si>
  <si>
    <t xml:space="preserve"> code=5 for cell D12.</t>
  </si>
  <si>
    <t>D16</t>
  </si>
  <si>
    <t xml:space="preserve">Sex ratio at birth (males per female).  Enter only for </t>
  </si>
  <si>
    <t xml:space="preserve"> both sexes (sex code=3 in cell D7).</t>
  </si>
  <si>
    <t>C26-C47</t>
  </si>
  <si>
    <t xml:space="preserve">* Deaths by age including the open-ended age group. </t>
  </si>
  <si>
    <t>D26-D47</t>
  </si>
  <si>
    <t xml:space="preserve">* Population by age including the open-ended age group. </t>
  </si>
  <si>
    <t xml:space="preserve">       *</t>
  </si>
  <si>
    <t>For both deaths and population, enter the data up</t>
  </si>
  <si>
    <t>to and including the open-ended age group.  The</t>
  </si>
  <si>
    <t>open-ended age group must be the same for both</t>
  </si>
  <si>
    <t>deaths and population and must be in the range 65+ to</t>
  </si>
  <si>
    <t>100+.  Enter 0 for the age groups after the open-ended</t>
  </si>
  <si>
    <t>age group.  Labels will change automatically after</t>
  </si>
  <si>
    <t>calculation.</t>
  </si>
  <si>
    <t>A50-G52</t>
  </si>
  <si>
    <t>Sources of the input data.</t>
  </si>
  <si>
    <t>A53</t>
  </si>
  <si>
    <t xml:space="preserve">Filename, disk name, date, and initials.  Type all of these </t>
  </si>
  <si>
    <t xml:space="preserve"> into the same cell.</t>
  </si>
  <si>
    <t>**** R E S U L T S ****</t>
  </si>
  <si>
    <t>A55-K98</t>
  </si>
  <si>
    <t>Abridged life table based on deaths and population.</t>
  </si>
  <si>
    <t>A99-K144</t>
  </si>
  <si>
    <t xml:space="preserve">Smoothed abridged life table based on deaths and population. </t>
  </si>
  <si>
    <t>**** G R A P H S ****</t>
  </si>
  <si>
    <t>NAME</t>
  </si>
  <si>
    <t>----------</t>
  </si>
  <si>
    <t>GRAPH1</t>
  </si>
  <si>
    <t>Age-specific central death rates (nmx).</t>
  </si>
  <si>
    <t>GRAPH2</t>
  </si>
  <si>
    <t>Probability of dying (nqx).</t>
  </si>
  <si>
    <t>PRESS PgDn FOR HELP SCREEN</t>
  </si>
  <si>
    <t>INTERMEDIATE CALCULATIONS</t>
  </si>
  <si>
    <t>Flags for Determining Open-Ended Age Group</t>
  </si>
  <si>
    <t xml:space="preserve">Age </t>
  </si>
  <si>
    <t>flag</t>
  </si>
  <si>
    <t>Sex ratio at birth plus 1</t>
  </si>
  <si>
    <t>Tables for Computing Separation Factors for Ages 0 and 1-4</t>
  </si>
  <si>
    <t>Separation factors for age 0</t>
  </si>
  <si>
    <t>Separation factors for ages 1-4</t>
  </si>
  <si>
    <t>Estimate and</t>
  </si>
  <si>
    <t>----------Sex code------------</t>
  </si>
  <si>
    <t>region</t>
  </si>
  <si>
    <t>IMR &gt; 0.100</t>
  </si>
  <si>
    <t>Separation factor</t>
  </si>
  <si>
    <t xml:space="preserve">  West</t>
  </si>
  <si>
    <t xml:space="preserve">  North</t>
  </si>
  <si>
    <t xml:space="preserve">  East</t>
  </si>
  <si>
    <t xml:space="preserve">  South</t>
  </si>
  <si>
    <t>IMR &lt; 0.100</t>
  </si>
  <si>
    <t>Intercept (alpha)</t>
  </si>
  <si>
    <t>Slope (beta)</t>
  </si>
  <si>
    <t>Infant death rate (m0)</t>
  </si>
  <si>
    <t>Estimates of Separation Factors</t>
  </si>
  <si>
    <t xml:space="preserve"> Sepation factor</t>
  </si>
  <si>
    <t xml:space="preserve"> IMR</t>
  </si>
  <si>
    <t xml:space="preserve"> Factors</t>
  </si>
  <si>
    <t xml:space="preserve">  Alpha</t>
  </si>
  <si>
    <t xml:space="preserve">  Beta</t>
  </si>
  <si>
    <t xml:space="preserve">  a</t>
  </si>
  <si>
    <t xml:space="preserve">  b</t>
  </si>
  <si>
    <t xml:space="preserve"> Estimates</t>
  </si>
  <si>
    <t xml:space="preserve">  IMR</t>
  </si>
  <si>
    <t xml:space="preserve">  Separtion factor</t>
  </si>
  <si>
    <t>Data for Graphs</t>
  </si>
  <si>
    <t>Smoothed</t>
  </si>
  <si>
    <t>min</t>
  </si>
  <si>
    <t>(midpoint)</t>
  </si>
  <si>
    <t>min for graphs</t>
  </si>
  <si>
    <t>Calculations to Smooth the Mx Values</t>
  </si>
  <si>
    <t xml:space="preserve">Smoothed </t>
  </si>
  <si>
    <t>adjusted</t>
  </si>
  <si>
    <t>nMx's</t>
  </si>
  <si>
    <t>deaths</t>
  </si>
  <si>
    <t>to total</t>
  </si>
  <si>
    <t/>
  </si>
  <si>
    <t>All ages</t>
  </si>
  <si>
    <t>15-</t>
  </si>
  <si>
    <t>CRITERIA FOR SUM OF DEATHS</t>
  </si>
  <si>
    <t>All Persons</t>
  </si>
  <si>
    <t>65</t>
  </si>
  <si>
    <t>70</t>
  </si>
  <si>
    <t>75</t>
  </si>
  <si>
    <t>80</t>
  </si>
  <si>
    <t>85</t>
  </si>
  <si>
    <t>90</t>
  </si>
  <si>
    <t>95</t>
  </si>
  <si>
    <t>100</t>
  </si>
  <si>
    <t xml:space="preserve">   +</t>
  </si>
  <si>
    <t>End of Year Population Estimates by Age Group and Status, 2022</t>
  </si>
  <si>
    <t>End of Year Population Estimates by Age Group and Sex, 2022</t>
  </si>
  <si>
    <t>Compendium of Statistics 2022</t>
  </si>
  <si>
    <t>End of Year Population Estimates by Status, 1990 -  2022</t>
  </si>
  <si>
    <t>End of Year Population Estimates by Sex, 2005 -  2022</t>
  </si>
  <si>
    <t>Population by Islands, Age Group and Sex, Census Years 1989 - 2021</t>
  </si>
  <si>
    <t>Population Density, Census Years 1989 -  2021</t>
  </si>
  <si>
    <t>Total Dependency Ratio, Census Years 1970 - 2021</t>
  </si>
  <si>
    <t>Compendium of Statistics 2021</t>
  </si>
  <si>
    <t>Total Households by District 2015 - 2022</t>
  </si>
  <si>
    <t>End of Year Population Estimates by District and Sex, 2022</t>
  </si>
  <si>
    <t>End of Year Population Estimates by District and Status, 2022</t>
  </si>
  <si>
    <t>Selected Indicators from the Life Table for the Cayman Islands,  2021</t>
  </si>
  <si>
    <t>1.02a</t>
  </si>
  <si>
    <t>Population Pyramids for the Total, Caymanian and Non-Caymanian Population 2021</t>
  </si>
  <si>
    <t>Population in Selected Countries, 2010-2021 Census Round</t>
  </si>
  <si>
    <t>Number of Households by District 2016 - 2022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</si>
</sst>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0.0"/>
    <numFmt numFmtId="167" formatCode="#,###.0"/>
    <numFmt numFmtId="168" formatCode="#,##0.0"/>
    <numFmt numFmtId="169" formatCode="#,##0.0_);\(#,##0.0\)"/>
    <numFmt numFmtId="170" formatCode="0."/>
    <numFmt numFmtId="171" formatCode="\-\ #\ \-"/>
    <numFmt numFmtId="172" formatCode="###0"/>
    <numFmt numFmtId="173" formatCode="####.0"/>
    <numFmt numFmtId="174" formatCode="0.00000_)"/>
    <numFmt numFmtId="175" formatCode="0.000_)"/>
    <numFmt numFmtId="176" formatCode="0.0_)"/>
    <numFmt numFmtId="177" formatCode="0.00_)"/>
    <numFmt numFmtId="178" formatCode="0.0000_)"/>
    <numFmt numFmtId="179" formatCode="General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name val="Arial"/>
      <family val="2"/>
    </font>
    <font>
      <b/>
      <sz val="11"/>
      <name val="Book Antiqua"/>
      <family val="1"/>
    </font>
    <font>
      <u/>
      <sz val="10"/>
      <name val="Arial"/>
      <family val="2"/>
    </font>
    <font>
      <sz val="11"/>
      <name val="Book Antiqua"/>
      <family val="1"/>
    </font>
    <font>
      <b/>
      <sz val="14"/>
      <name val="Book Antiqua"/>
      <family val="1"/>
    </font>
    <font>
      <b/>
      <sz val="16"/>
      <name val="Arial"/>
      <family val="2"/>
    </font>
    <font>
      <b/>
      <sz val="11"/>
      <color theme="1"/>
      <name val="Calibri"/>
      <family val="2"/>
      <scheme val="minor"/>
    </font>
    <font>
      <b/>
      <u/>
      <sz val="10"/>
      <name val="Arial"/>
      <family val="2"/>
    </font>
    <font>
      <vertAlign val="superscript"/>
      <sz val="10"/>
      <color theme="1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color theme="0" tint="-0.34998626667073579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sz val="8"/>
      <color indexed="12"/>
      <name val="Arial"/>
      <family val="2"/>
    </font>
    <font>
      <b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6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24" fillId="0" borderId="0"/>
  </cellStyleXfs>
  <cellXfs count="426">
    <xf numFmtId="0" fontId="0" fillId="0" borderId="0" xfId="0"/>
    <xf numFmtId="0" fontId="3" fillId="2" borderId="0" xfId="0" applyFont="1" applyFill="1"/>
    <xf numFmtId="0" fontId="2" fillId="2" borderId="0" xfId="0" applyFont="1" applyFill="1" applyBorder="1"/>
    <xf numFmtId="164" fontId="2" fillId="2" borderId="0" xfId="1" applyNumberFormat="1" applyFont="1" applyFill="1" applyBorder="1"/>
    <xf numFmtId="165" fontId="2" fillId="2" borderId="0" xfId="0" applyNumberFormat="1" applyFont="1" applyFill="1" applyBorder="1"/>
    <xf numFmtId="0" fontId="3" fillId="2" borderId="0" xfId="0" applyFont="1" applyFill="1" applyBorder="1"/>
    <xf numFmtId="164" fontId="3" fillId="2" borderId="0" xfId="1" applyNumberFormat="1" applyFont="1" applyFill="1" applyBorder="1"/>
    <xf numFmtId="165" fontId="3" fillId="2" borderId="0" xfId="0" applyNumberFormat="1" applyFont="1" applyFill="1" applyBorder="1"/>
    <xf numFmtId="165" fontId="3" fillId="2" borderId="0" xfId="1" applyNumberFormat="1" applyFont="1" applyFill="1" applyBorder="1"/>
    <xf numFmtId="0" fontId="5" fillId="0" borderId="0" xfId="0" applyFont="1"/>
    <xf numFmtId="164" fontId="5" fillId="2" borderId="0" xfId="1" applyNumberFormat="1" applyFont="1" applyFill="1" applyBorder="1"/>
    <xf numFmtId="166" fontId="5" fillId="2" borderId="0" xfId="0" applyNumberFormat="1" applyFont="1" applyFill="1" applyBorder="1"/>
    <xf numFmtId="0" fontId="0" fillId="3" borderId="0" xfId="0" applyFill="1"/>
    <xf numFmtId="0" fontId="0" fillId="2" borderId="0" xfId="0" applyFill="1"/>
    <xf numFmtId="0" fontId="8" fillId="2" borderId="0" xfId="0" applyFont="1" applyFill="1" applyAlignment="1">
      <alignment horizontal="right"/>
    </xf>
    <xf numFmtId="0" fontId="5" fillId="2" borderId="0" xfId="0" applyFont="1" applyFill="1"/>
    <xf numFmtId="0" fontId="0" fillId="3" borderId="0" xfId="0" applyFill="1" applyAlignment="1">
      <alignment horizontal="centerContinuous"/>
    </xf>
    <xf numFmtId="0" fontId="5" fillId="2" borderId="0" xfId="0" applyFont="1" applyFill="1" applyAlignment="1">
      <alignment horizontal="left" wrapText="1"/>
    </xf>
    <xf numFmtId="0" fontId="5" fillId="2" borderId="0" xfId="0" applyFont="1" applyFill="1" applyAlignment="1">
      <alignment vertical="center"/>
    </xf>
    <xf numFmtId="3" fontId="5" fillId="2" borderId="0" xfId="0" applyNumberFormat="1" applyFont="1" applyFill="1"/>
    <xf numFmtId="167" fontId="5" fillId="2" borderId="0" xfId="0" applyNumberFormat="1" applyFont="1" applyFill="1"/>
    <xf numFmtId="0" fontId="5" fillId="2" borderId="3" xfId="0" applyFont="1" applyFill="1" applyBorder="1"/>
    <xf numFmtId="3" fontId="5" fillId="2" borderId="3" xfId="0" applyNumberFormat="1" applyFont="1" applyFill="1" applyBorder="1"/>
    <xf numFmtId="167" fontId="5" fillId="2" borderId="3" xfId="0" applyNumberFormat="1" applyFont="1" applyFill="1" applyBorder="1"/>
    <xf numFmtId="0" fontId="5" fillId="2" borderId="3" xfId="0" applyFont="1" applyFill="1" applyBorder="1" applyAlignment="1">
      <alignment horizontal="left" wrapText="1"/>
    </xf>
    <xf numFmtId="0" fontId="5" fillId="2" borderId="0" xfId="0" applyFont="1" applyFill="1" applyBorder="1"/>
    <xf numFmtId="3" fontId="5" fillId="2" borderId="0" xfId="0" applyNumberFormat="1" applyFont="1" applyFill="1" applyBorder="1"/>
    <xf numFmtId="167" fontId="5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Alignment="1"/>
    <xf numFmtId="0" fontId="2" fillId="2" borderId="0" xfId="0" applyFont="1" applyFill="1" applyBorder="1" applyAlignment="1"/>
    <xf numFmtId="0" fontId="3" fillId="2" borderId="0" xfId="2" applyFill="1" applyBorder="1"/>
    <xf numFmtId="0" fontId="3" fillId="0" borderId="0" xfId="2"/>
    <xf numFmtId="0" fontId="10" fillId="2" borderId="0" xfId="2" applyFont="1" applyFill="1" applyBorder="1"/>
    <xf numFmtId="0" fontId="3" fillId="0" borderId="0" xfId="2" applyFill="1"/>
    <xf numFmtId="0" fontId="11" fillId="2" borderId="0" xfId="2" applyFont="1" applyFill="1" applyBorder="1" applyAlignment="1">
      <alignment horizontal="right"/>
    </xf>
    <xf numFmtId="170" fontId="12" fillId="2" borderId="0" xfId="2" applyNumberFormat="1" applyFont="1" applyFill="1" applyBorder="1"/>
    <xf numFmtId="0" fontId="12" fillId="2" borderId="0" xfId="2" applyFont="1" applyFill="1" applyBorder="1" applyAlignment="1"/>
    <xf numFmtId="0" fontId="3" fillId="0" borderId="0" xfId="2" applyBorder="1"/>
    <xf numFmtId="0" fontId="6" fillId="2" borderId="0" xfId="0" applyFont="1" applyFill="1"/>
    <xf numFmtId="0" fontId="5" fillId="2" borderId="3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wrapText="1"/>
    </xf>
    <xf numFmtId="0" fontId="0" fillId="0" borderId="0" xfId="0" applyFill="1"/>
    <xf numFmtId="0" fontId="13" fillId="0" borderId="0" xfId="0" applyFont="1" applyFill="1"/>
    <xf numFmtId="0" fontId="3" fillId="0" borderId="0" xfId="0" applyFont="1" applyFill="1"/>
    <xf numFmtId="0" fontId="8" fillId="0" borderId="0" xfId="0" applyFont="1" applyFill="1" applyAlignment="1">
      <alignment horizontal="right"/>
    </xf>
    <xf numFmtId="0" fontId="5" fillId="0" borderId="0" xfId="0" applyFont="1" applyFill="1"/>
    <xf numFmtId="0" fontId="2" fillId="0" borderId="0" xfId="0" applyFont="1" applyFill="1" applyAlignment="1"/>
    <xf numFmtId="0" fontId="2" fillId="0" borderId="3" xfId="0" applyFont="1" applyFill="1" applyBorder="1"/>
    <xf numFmtId="164" fontId="2" fillId="0" borderId="0" xfId="1" applyNumberFormat="1" applyFont="1" applyFill="1" applyBorder="1"/>
    <xf numFmtId="0" fontId="3" fillId="0" borderId="0" xfId="0" applyFont="1" applyFill="1" applyBorder="1"/>
    <xf numFmtId="164" fontId="3" fillId="0" borderId="0" xfId="1" applyNumberFormat="1" applyFont="1" applyFill="1" applyBorder="1"/>
    <xf numFmtId="165" fontId="3" fillId="0" borderId="0" xfId="1" applyNumberFormat="1" applyFont="1" applyFill="1" applyBorder="1"/>
    <xf numFmtId="164" fontId="5" fillId="0" borderId="0" xfId="1" applyNumberFormat="1" applyFont="1" applyFill="1" applyBorder="1"/>
    <xf numFmtId="0" fontId="5" fillId="0" borderId="1" xfId="0" applyFont="1" applyFill="1" applyBorder="1"/>
    <xf numFmtId="0" fontId="3" fillId="0" borderId="0" xfId="0" applyFont="1" applyFill="1" applyAlignment="1"/>
    <xf numFmtId="0" fontId="0" fillId="0" borderId="0" xfId="0" applyFill="1" applyAlignment="1">
      <alignment horizontal="centerContinuous"/>
    </xf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horizontal="left"/>
    </xf>
    <xf numFmtId="0" fontId="5" fillId="0" borderId="0" xfId="0" applyFont="1" applyFill="1" applyBorder="1"/>
    <xf numFmtId="164" fontId="3" fillId="0" borderId="0" xfId="1" applyNumberFormat="1" applyFont="1" applyFill="1" applyBorder="1" applyAlignment="1"/>
    <xf numFmtId="165" fontId="3" fillId="0" borderId="0" xfId="1" applyNumberFormat="1" applyFont="1" applyFill="1" applyBorder="1" applyAlignment="1"/>
    <xf numFmtId="165" fontId="5" fillId="0" borderId="0" xfId="0" applyNumberFormat="1" applyFont="1" applyFill="1" applyBorder="1"/>
    <xf numFmtId="168" fontId="5" fillId="0" borderId="0" xfId="0" applyNumberFormat="1" applyFont="1" applyFill="1" applyBorder="1"/>
    <xf numFmtId="164" fontId="5" fillId="0" borderId="0" xfId="0" applyNumberFormat="1" applyFont="1" applyFill="1"/>
    <xf numFmtId="0" fontId="6" fillId="0" borderId="0" xfId="0" applyFont="1" applyFill="1"/>
    <xf numFmtId="0" fontId="2" fillId="0" borderId="0" xfId="0" applyFont="1" applyFill="1"/>
    <xf numFmtId="0" fontId="5" fillId="0" borderId="0" xfId="0" applyFont="1" applyFill="1" applyAlignment="1"/>
    <xf numFmtId="0" fontId="5" fillId="0" borderId="3" xfId="0" applyFont="1" applyFill="1" applyBorder="1"/>
    <xf numFmtId="0" fontId="2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left"/>
    </xf>
    <xf numFmtId="0" fontId="2" fillId="0" borderId="0" xfId="0" applyFont="1" applyFill="1" applyBorder="1" applyAlignment="1"/>
    <xf numFmtId="0" fontId="2" fillId="0" borderId="3" xfId="0" applyFont="1" applyFill="1" applyBorder="1" applyAlignment="1">
      <alignment horizontal="center"/>
    </xf>
    <xf numFmtId="0" fontId="5" fillId="0" borderId="0" xfId="0" applyFont="1" applyFill="1" applyAlignment="1">
      <alignment horizontal="centerContinuous"/>
    </xf>
    <xf numFmtId="0" fontId="5" fillId="0" borderId="3" xfId="0" applyFont="1" applyFill="1" applyBorder="1" applyAlignment="1"/>
    <xf numFmtId="164" fontId="5" fillId="0" borderId="0" xfId="1" applyNumberFormat="1" applyFont="1" applyFill="1" applyBorder="1" applyAlignment="1">
      <alignment horizontal="right"/>
    </xf>
    <xf numFmtId="164" fontId="2" fillId="0" borderId="0" xfId="1" applyNumberFormat="1" applyFont="1" applyFill="1"/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centerContinuous"/>
    </xf>
    <xf numFmtId="2" fontId="2" fillId="0" borderId="0" xfId="0" quotePrefix="1" applyNumberFormat="1" applyFont="1" applyFill="1" applyAlignment="1">
      <alignment horizontal="left"/>
    </xf>
    <xf numFmtId="164" fontId="3" fillId="0" borderId="0" xfId="1" applyNumberFormat="1" applyFont="1" applyFill="1"/>
    <xf numFmtId="0" fontId="5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2" fontId="2" fillId="0" borderId="0" xfId="0" applyNumberFormat="1" applyFont="1" applyFill="1" applyAlignment="1">
      <alignment horizontal="left"/>
    </xf>
    <xf numFmtId="0" fontId="2" fillId="0" borderId="0" xfId="0" quotePrefix="1" applyFont="1" applyFill="1" applyAlignment="1">
      <alignment horizontal="center"/>
    </xf>
    <xf numFmtId="165" fontId="3" fillId="0" borderId="0" xfId="1" applyNumberFormat="1" applyFont="1" applyFill="1"/>
    <xf numFmtId="0" fontId="9" fillId="0" borderId="0" xfId="0" applyFont="1" applyFill="1"/>
    <xf numFmtId="0" fontId="14" fillId="0" borderId="0" xfId="0" applyFont="1" applyFill="1"/>
    <xf numFmtId="0" fontId="9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5" fillId="0" borderId="0" xfId="0" applyFont="1" applyFill="1" applyAlignment="1">
      <alignment wrapText="1"/>
    </xf>
    <xf numFmtId="0" fontId="19" fillId="0" borderId="0" xfId="0" applyFont="1" applyFill="1" applyBorder="1"/>
    <xf numFmtId="0" fontId="20" fillId="0" borderId="0" xfId="0" applyFont="1" applyFill="1" applyBorder="1"/>
    <xf numFmtId="37" fontId="20" fillId="0" borderId="0" xfId="3" applyNumberFormat="1" applyFont="1" applyFill="1" applyBorder="1" applyAlignment="1">
      <alignment horizontal="right"/>
    </xf>
    <xf numFmtId="164" fontId="20" fillId="0" borderId="0" xfId="0" applyNumberFormat="1" applyFont="1" applyFill="1" applyBorder="1"/>
    <xf numFmtId="0" fontId="18" fillId="0" borderId="0" xfId="0" applyFont="1" applyFill="1"/>
    <xf numFmtId="0" fontId="19" fillId="0" borderId="0" xfId="0" applyFont="1" applyFill="1"/>
    <xf numFmtId="0" fontId="20" fillId="0" borderId="0" xfId="0" applyFont="1" applyFill="1"/>
    <xf numFmtId="0" fontId="3" fillId="0" borderId="0" xfId="0" applyFont="1" applyFill="1" applyAlignment="1">
      <alignment horizontal="centerContinuous"/>
    </xf>
    <xf numFmtId="0" fontId="23" fillId="0" borderId="0" xfId="0" applyFont="1" applyFill="1"/>
    <xf numFmtId="0" fontId="22" fillId="0" borderId="0" xfId="0" applyFont="1" applyFill="1"/>
    <xf numFmtId="0" fontId="22" fillId="0" borderId="0" xfId="0" applyFont="1" applyFill="1" applyBorder="1"/>
    <xf numFmtId="0" fontId="23" fillId="0" borderId="0" xfId="0" applyFont="1" applyFill="1" applyBorder="1"/>
    <xf numFmtId="0" fontId="5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164" fontId="6" fillId="0" borderId="0" xfId="1" applyNumberFormat="1" applyFont="1" applyFill="1" applyBorder="1" applyAlignment="1">
      <alignment horizontal="right"/>
    </xf>
    <xf numFmtId="0" fontId="0" fillId="0" borderId="0" xfId="0" applyFont="1" applyFill="1"/>
    <xf numFmtId="0" fontId="0" fillId="0" borderId="0" xfId="0" applyFont="1" applyFill="1" applyBorder="1"/>
    <xf numFmtId="0" fontId="6" fillId="0" borderId="0" xfId="0" applyFont="1" applyFill="1" applyAlignment="1">
      <alignment horizontal="right"/>
    </xf>
    <xf numFmtId="0" fontId="5" fillId="0" borderId="0" xfId="4" applyFont="1" applyFill="1" applyBorder="1" applyAlignment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vertical="top"/>
    </xf>
    <xf numFmtId="3" fontId="5" fillId="0" borderId="0" xfId="0" applyNumberFormat="1" applyFont="1" applyFill="1" applyBorder="1"/>
    <xf numFmtId="164" fontId="3" fillId="0" borderId="0" xfId="1" quotePrefix="1" applyNumberFormat="1" applyFont="1" applyFill="1" applyBorder="1"/>
    <xf numFmtId="0" fontId="2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2" fillId="0" borderId="3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/>
    </xf>
    <xf numFmtId="0" fontId="2" fillId="0" borderId="2" xfId="0" applyFont="1" applyFill="1" applyBorder="1"/>
    <xf numFmtId="0" fontId="2" fillId="0" borderId="2" xfId="0" applyFont="1" applyFill="1" applyBorder="1" applyAlignment="1">
      <alignment horizontal="center"/>
    </xf>
    <xf numFmtId="0" fontId="3" fillId="0" borderId="1" xfId="0" applyFont="1" applyFill="1" applyBorder="1"/>
    <xf numFmtId="0" fontId="2" fillId="0" borderId="0" xfId="0" applyFont="1" applyFill="1" applyBorder="1"/>
    <xf numFmtId="165" fontId="5" fillId="0" borderId="0" xfId="1" applyNumberFormat="1" applyFont="1" applyFill="1" applyBorder="1"/>
    <xf numFmtId="164" fontId="3" fillId="0" borderId="3" xfId="1" applyNumberFormat="1" applyFont="1" applyFill="1" applyBorder="1"/>
    <xf numFmtId="164" fontId="5" fillId="0" borderId="3" xfId="1" applyNumberFormat="1" applyFont="1" applyFill="1" applyBorder="1"/>
    <xf numFmtId="165" fontId="5" fillId="0" borderId="3" xfId="1" applyNumberFormat="1" applyFont="1" applyFill="1" applyBorder="1"/>
    <xf numFmtId="0" fontId="2" fillId="0" borderId="2" xfId="0" applyFont="1" applyFill="1" applyBorder="1" applyAlignment="1">
      <alignment horizontal="right"/>
    </xf>
    <xf numFmtId="165" fontId="3" fillId="0" borderId="0" xfId="0" applyNumberFormat="1" applyFont="1" applyFill="1" applyBorder="1"/>
    <xf numFmtId="0" fontId="2" fillId="0" borderId="1" xfId="0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164" fontId="20" fillId="0" borderId="0" xfId="1" applyNumberFormat="1" applyFont="1" applyFill="1" applyBorder="1"/>
    <xf numFmtId="165" fontId="20" fillId="0" borderId="0" xfId="1" applyNumberFormat="1" applyFont="1" applyFill="1" applyBorder="1"/>
    <xf numFmtId="165" fontId="20" fillId="0" borderId="0" xfId="1" applyNumberFormat="1" applyFont="1" applyFill="1" applyBorder="1" applyAlignment="1">
      <alignment horizontal="center"/>
    </xf>
    <xf numFmtId="165" fontId="20" fillId="0" borderId="0" xfId="1" applyNumberFormat="1" applyFont="1" applyFill="1" applyBorder="1" applyAlignment="1"/>
    <xf numFmtId="165" fontId="20" fillId="0" borderId="0" xfId="0" applyNumberFormat="1" applyFont="1" applyFill="1" applyBorder="1"/>
    <xf numFmtId="0" fontId="2" fillId="0" borderId="0" xfId="0" applyFont="1" applyFill="1" applyBorder="1" applyAlignment="1">
      <alignment horizontal="right"/>
    </xf>
    <xf numFmtId="168" fontId="5" fillId="0" borderId="0" xfId="0" applyNumberFormat="1" applyFont="1" applyFill="1" applyBorder="1" applyAlignment="1">
      <alignment horizontal="right"/>
    </xf>
    <xf numFmtId="165" fontId="5" fillId="0" borderId="0" xfId="0" applyNumberFormat="1" applyFont="1" applyFill="1" applyBorder="1" applyAlignment="1">
      <alignment horizontal="right"/>
    </xf>
    <xf numFmtId="0" fontId="2" fillId="0" borderId="0" xfId="0" quotePrefix="1" applyFont="1" applyFill="1" applyBorder="1" applyAlignment="1">
      <alignment horizontal="right"/>
    </xf>
    <xf numFmtId="0" fontId="2" fillId="0" borderId="0" xfId="0" applyFont="1" applyFill="1" applyBorder="1" applyAlignment="1">
      <alignment horizontal="left"/>
    </xf>
    <xf numFmtId="169" fontId="5" fillId="0" borderId="0" xfId="0" applyNumberFormat="1" applyFont="1" applyFill="1" applyBorder="1"/>
    <xf numFmtId="0" fontId="4" fillId="0" borderId="0" xfId="0" applyFont="1" applyFill="1" applyBorder="1" applyAlignment="1">
      <alignment horizontal="right"/>
    </xf>
    <xf numFmtId="0" fontId="4" fillId="0" borderId="0" xfId="0" applyFont="1" applyFill="1" applyBorder="1"/>
    <xf numFmtId="3" fontId="5" fillId="0" borderId="0" xfId="0" applyNumberFormat="1" applyFont="1" applyFill="1" applyBorder="1" applyAlignment="1">
      <alignment horizontal="right"/>
    </xf>
    <xf numFmtId="0" fontId="15" fillId="0" borderId="0" xfId="0" applyFont="1" applyFill="1"/>
    <xf numFmtId="0" fontId="2" fillId="0" borderId="3" xfId="0" quotePrefix="1" applyFont="1" applyFill="1" applyBorder="1" applyAlignment="1">
      <alignment horizontal="right"/>
    </xf>
    <xf numFmtId="0" fontId="2" fillId="0" borderId="3" xfId="0" applyFont="1" applyFill="1" applyBorder="1" applyAlignment="1">
      <alignment horizontal="right"/>
    </xf>
    <xf numFmtId="165" fontId="3" fillId="0" borderId="3" xfId="1" applyNumberFormat="1" applyFont="1" applyFill="1" applyBorder="1"/>
    <xf numFmtId="164" fontId="3" fillId="0" borderId="3" xfId="1" applyNumberFormat="1" applyFont="1" applyFill="1" applyBorder="1" applyAlignment="1">
      <alignment horizontal="center"/>
    </xf>
    <xf numFmtId="164" fontId="5" fillId="0" borderId="3" xfId="0" applyNumberFormat="1" applyFont="1" applyFill="1" applyBorder="1"/>
    <xf numFmtId="164" fontId="3" fillId="0" borderId="3" xfId="1" applyNumberFormat="1" applyFont="1" applyFill="1" applyBorder="1" applyAlignment="1"/>
    <xf numFmtId="164" fontId="3" fillId="0" borderId="0" xfId="1" applyNumberFormat="1" applyFont="1" applyFill="1" applyBorder="1" applyAlignment="1">
      <alignment horizontal="center"/>
    </xf>
    <xf numFmtId="164" fontId="5" fillId="0" borderId="0" xfId="0" applyNumberFormat="1" applyFont="1" applyFill="1" applyBorder="1"/>
    <xf numFmtId="3" fontId="3" fillId="0" borderId="0" xfId="0" applyNumberFormat="1" applyFont="1" applyFill="1" applyBorder="1" applyAlignment="1">
      <alignment horizontal="right"/>
    </xf>
    <xf numFmtId="0" fontId="7" fillId="0" borderId="0" xfId="0" applyFont="1" applyFill="1" applyAlignment="1" applyProtection="1">
      <alignment horizontal="right"/>
      <protection locked="0"/>
    </xf>
    <xf numFmtId="0" fontId="7" fillId="0" borderId="0" xfId="0" quotePrefix="1" applyFont="1" applyFill="1" applyAlignment="1" applyProtection="1">
      <alignment horizontal="center"/>
      <protection locked="0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right" vertical="center" wrapText="1"/>
    </xf>
    <xf numFmtId="164" fontId="3" fillId="0" borderId="0" xfId="1" applyNumberFormat="1" applyFont="1" applyFill="1" applyBorder="1" applyAlignment="1">
      <alignment horizontal="left"/>
    </xf>
    <xf numFmtId="165" fontId="3" fillId="0" borderId="0" xfId="1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right"/>
    </xf>
    <xf numFmtId="0" fontId="6" fillId="0" borderId="0" xfId="0" quotePrefix="1" applyFont="1" applyFill="1" applyBorder="1" applyAlignment="1">
      <alignment horizontal="right"/>
    </xf>
    <xf numFmtId="0" fontId="15" fillId="0" borderId="0" xfId="0" applyFont="1" applyFill="1" applyBorder="1"/>
    <xf numFmtId="0" fontId="6" fillId="0" borderId="3" xfId="0" applyFont="1" applyFill="1" applyBorder="1" applyAlignment="1">
      <alignment horizontal="right"/>
    </xf>
    <xf numFmtId="3" fontId="5" fillId="0" borderId="3" xfId="0" applyNumberFormat="1" applyFont="1" applyFill="1" applyBorder="1"/>
    <xf numFmtId="169" fontId="5" fillId="0" borderId="3" xfId="0" applyNumberFormat="1" applyFont="1" applyFill="1" applyBorder="1"/>
    <xf numFmtId="3" fontId="5" fillId="0" borderId="3" xfId="0" applyNumberFormat="1" applyFont="1" applyFill="1" applyBorder="1" applyAlignment="1">
      <alignment horizontal="right"/>
    </xf>
    <xf numFmtId="168" fontId="5" fillId="0" borderId="3" xfId="0" applyNumberFormat="1" applyFont="1" applyFill="1" applyBorder="1"/>
    <xf numFmtId="168" fontId="5" fillId="0" borderId="3" xfId="0" applyNumberFormat="1" applyFont="1" applyFill="1" applyBorder="1" applyAlignment="1">
      <alignment horizontal="right"/>
    </xf>
    <xf numFmtId="0" fontId="24" fillId="0" borderId="0" xfId="13" applyFill="1"/>
    <xf numFmtId="0" fontId="6" fillId="0" borderId="3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24" fillId="0" borderId="0" xfId="13" applyFill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6" fillId="0" borderId="4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left" vertical="top"/>
    </xf>
    <xf numFmtId="164" fontId="6" fillId="0" borderId="4" xfId="1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164" fontId="6" fillId="0" borderId="4" xfId="0" applyNumberFormat="1" applyFont="1" applyFill="1" applyBorder="1" applyAlignment="1">
      <alignment horizontal="right"/>
    </xf>
    <xf numFmtId="164" fontId="5" fillId="0" borderId="4" xfId="1" applyNumberFormat="1" applyFont="1" applyFill="1" applyBorder="1"/>
    <xf numFmtId="49" fontId="5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left"/>
    </xf>
    <xf numFmtId="164" fontId="5" fillId="0" borderId="5" xfId="1" applyNumberFormat="1" applyFont="1" applyFill="1" applyBorder="1"/>
    <xf numFmtId="0" fontId="2" fillId="0" borderId="2" xfId="0" applyFont="1" applyFill="1" applyBorder="1" applyAlignment="1">
      <alignment horizontal="center" vertical="center" wrapText="1"/>
    </xf>
    <xf numFmtId="164" fontId="5" fillId="0" borderId="0" xfId="3" applyNumberFormat="1" applyFont="1" applyFill="1" applyBorder="1"/>
    <xf numFmtId="165" fontId="5" fillId="0" borderId="0" xfId="3" applyNumberFormat="1" applyFont="1" applyFill="1" applyBorder="1"/>
    <xf numFmtId="165" fontId="2" fillId="0" borderId="0" xfId="0" applyNumberFormat="1" applyFont="1" applyFill="1" applyBorder="1"/>
    <xf numFmtId="0" fontId="2" fillId="0" borderId="0" xfId="0" applyFont="1" applyFill="1" applyBorder="1" applyAlignment="1" applyProtection="1">
      <alignment horizontal="center"/>
      <protection locked="0"/>
    </xf>
    <xf numFmtId="164" fontId="5" fillId="0" borderId="0" xfId="3" applyNumberFormat="1" applyFont="1" applyFill="1" applyBorder="1" applyProtection="1">
      <protection locked="0"/>
    </xf>
    <xf numFmtId="164" fontId="3" fillId="0" borderId="0" xfId="3" applyNumberFormat="1" applyFont="1" applyFill="1" applyBorder="1"/>
    <xf numFmtId="165" fontId="3" fillId="0" borderId="0" xfId="3" applyNumberFormat="1" applyFont="1" applyFill="1" applyBorder="1"/>
    <xf numFmtId="164" fontId="3" fillId="0" borderId="3" xfId="3" applyNumberFormat="1" applyFont="1" applyFill="1" applyBorder="1"/>
    <xf numFmtId="166" fontId="5" fillId="0" borderId="3" xfId="0" applyNumberFormat="1" applyFont="1" applyFill="1" applyBorder="1"/>
    <xf numFmtId="165" fontId="3" fillId="0" borderId="3" xfId="3" applyNumberFormat="1" applyFont="1" applyFill="1" applyBorder="1"/>
    <xf numFmtId="166" fontId="5" fillId="0" borderId="0" xfId="0" applyNumberFormat="1" applyFont="1" applyFill="1" applyBorder="1"/>
    <xf numFmtId="0" fontId="3" fillId="0" borderId="0" xfId="0" applyFont="1" applyFill="1" applyBorder="1" applyAlignment="1">
      <alignment wrapText="1"/>
    </xf>
    <xf numFmtId="0" fontId="6" fillId="0" borderId="1" xfId="0" applyFont="1" applyFill="1" applyBorder="1"/>
    <xf numFmtId="0" fontId="5" fillId="0" borderId="1" xfId="0" applyFont="1" applyFill="1" applyBorder="1" applyAlignment="1">
      <alignment wrapText="1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164" fontId="5" fillId="0" borderId="0" xfId="1" applyNumberFormat="1" applyFont="1" applyFill="1" applyBorder="1" applyAlignment="1">
      <alignment wrapText="1"/>
    </xf>
    <xf numFmtId="0" fontId="6" fillId="0" borderId="0" xfId="0" applyFont="1" applyFill="1" applyBorder="1" applyAlignment="1">
      <alignment vertical="top" wrapText="1"/>
    </xf>
    <xf numFmtId="0" fontId="6" fillId="0" borderId="3" xfId="0" applyFont="1" applyFill="1" applyBorder="1"/>
    <xf numFmtId="0" fontId="5" fillId="0" borderId="3" xfId="0" applyFont="1" applyFill="1" applyBorder="1" applyAlignment="1">
      <alignment wrapText="1"/>
    </xf>
    <xf numFmtId="164" fontId="5" fillId="0" borderId="3" xfId="1" applyNumberFormat="1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vertical="top"/>
    </xf>
    <xf numFmtId="0" fontId="2" fillId="0" borderId="13" xfId="1" applyNumberFormat="1" applyFont="1" applyFill="1" applyBorder="1" applyAlignment="1">
      <alignment horizontal="right"/>
    </xf>
    <xf numFmtId="0" fontId="2" fillId="0" borderId="14" xfId="1" applyNumberFormat="1" applyFont="1" applyFill="1" applyBorder="1" applyAlignment="1">
      <alignment horizontal="right"/>
    </xf>
    <xf numFmtId="0" fontId="2" fillId="0" borderId="3" xfId="1" applyNumberFormat="1" applyFont="1" applyFill="1" applyBorder="1" applyAlignment="1">
      <alignment horizontal="center"/>
    </xf>
    <xf numFmtId="0" fontId="2" fillId="0" borderId="10" xfId="1" applyNumberFormat="1" applyFont="1" applyFill="1" applyBorder="1" applyAlignment="1">
      <alignment horizontal="center"/>
    </xf>
    <xf numFmtId="0" fontId="2" fillId="0" borderId="5" xfId="1" applyNumberFormat="1" applyFont="1" applyFill="1" applyBorder="1" applyAlignment="1">
      <alignment horizontal="center"/>
    </xf>
    <xf numFmtId="0" fontId="2" fillId="0" borderId="0" xfId="1" applyNumberFormat="1" applyFont="1" applyFill="1" applyBorder="1" applyAlignment="1">
      <alignment horizontal="right"/>
    </xf>
    <xf numFmtId="0" fontId="2" fillId="0" borderId="11" xfId="1" applyNumberFormat="1" applyFont="1" applyFill="1" applyBorder="1" applyAlignment="1">
      <alignment horizontal="right"/>
    </xf>
    <xf numFmtId="0" fontId="2" fillId="0" borderId="4" xfId="1" applyNumberFormat="1" applyFont="1" applyFill="1" applyBorder="1" applyAlignment="1">
      <alignment horizontal="right"/>
    </xf>
    <xf numFmtId="0" fontId="5" fillId="0" borderId="4" xfId="0" applyFont="1" applyFill="1" applyBorder="1"/>
    <xf numFmtId="0" fontId="5" fillId="0" borderId="11" xfId="0" applyFont="1" applyFill="1" applyBorder="1"/>
    <xf numFmtId="164" fontId="2" fillId="0" borderId="0" xfId="0" applyNumberFormat="1" applyFont="1" applyFill="1" applyBorder="1" applyAlignment="1">
      <alignment horizontal="right"/>
    </xf>
    <xf numFmtId="165" fontId="2" fillId="0" borderId="11" xfId="0" applyNumberFormat="1" applyFont="1" applyFill="1" applyBorder="1" applyAlignment="1">
      <alignment horizontal="right"/>
    </xf>
    <xf numFmtId="164" fontId="2" fillId="0" borderId="4" xfId="0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165" fontId="3" fillId="0" borderId="11" xfId="0" applyNumberFormat="1" applyFont="1" applyFill="1" applyBorder="1" applyAlignment="1">
      <alignment horizontal="right"/>
    </xf>
    <xf numFmtId="0" fontId="5" fillId="0" borderId="4" xfId="0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165" fontId="3" fillId="0" borderId="0" xfId="0" applyNumberFormat="1" applyFont="1" applyFill="1" applyBorder="1" applyAlignment="1">
      <alignment horizontal="right"/>
    </xf>
    <xf numFmtId="49" fontId="5" fillId="0" borderId="0" xfId="0" applyNumberFormat="1" applyFont="1" applyFill="1" applyAlignment="1">
      <alignment horizontal="left"/>
    </xf>
    <xf numFmtId="164" fontId="5" fillId="0" borderId="4" xfId="1" applyNumberFormat="1" applyFont="1" applyFill="1" applyBorder="1" applyAlignment="1">
      <alignment horizontal="right"/>
    </xf>
    <xf numFmtId="164" fontId="3" fillId="0" borderId="4" xfId="1" applyNumberFormat="1" applyFont="1" applyFill="1" applyBorder="1" applyAlignment="1">
      <alignment horizontal="right"/>
    </xf>
    <xf numFmtId="164" fontId="3" fillId="0" borderId="0" xfId="1" applyNumberFormat="1" applyFont="1" applyFill="1" applyAlignment="1">
      <alignment horizontal="right"/>
    </xf>
    <xf numFmtId="0" fontId="5" fillId="0" borderId="0" xfId="0" applyFont="1" applyFill="1" applyAlignment="1">
      <alignment horizontal="left"/>
    </xf>
    <xf numFmtId="43" fontId="5" fillId="0" borderId="3" xfId="1" applyFont="1" applyFill="1" applyBorder="1" applyAlignment="1">
      <alignment horizontal="right"/>
    </xf>
    <xf numFmtId="165" fontId="3" fillId="0" borderId="10" xfId="0" applyNumberFormat="1" applyFont="1" applyFill="1" applyBorder="1" applyAlignment="1">
      <alignment horizontal="right"/>
    </xf>
    <xf numFmtId="43" fontId="5" fillId="0" borderId="5" xfId="1" applyFont="1" applyFill="1" applyBorder="1" applyAlignment="1">
      <alignment horizontal="right"/>
    </xf>
    <xf numFmtId="164" fontId="5" fillId="0" borderId="5" xfId="1" applyNumberFormat="1" applyFont="1" applyFill="1" applyBorder="1" applyAlignment="1">
      <alignment horizontal="right"/>
    </xf>
    <xf numFmtId="164" fontId="5" fillId="0" borderId="3" xfId="1" applyNumberFormat="1" applyFont="1" applyFill="1" applyBorder="1" applyAlignment="1">
      <alignment horizontal="right"/>
    </xf>
    <xf numFmtId="165" fontId="3" fillId="0" borderId="3" xfId="0" applyNumberFormat="1" applyFont="1" applyFill="1" applyBorder="1" applyAlignment="1">
      <alignment horizontal="right"/>
    </xf>
    <xf numFmtId="165" fontId="2" fillId="0" borderId="0" xfId="1" applyNumberFormat="1" applyFont="1" applyFill="1"/>
    <xf numFmtId="43" fontId="2" fillId="0" borderId="9" xfId="1" quotePrefix="1" applyFont="1" applyFill="1" applyBorder="1" applyAlignment="1">
      <alignment horizontal="center" vertical="center" wrapText="1"/>
    </xf>
    <xf numFmtId="43" fontId="2" fillId="0" borderId="3" xfId="1" quotePrefix="1" applyFont="1" applyFill="1" applyBorder="1" applyAlignment="1">
      <alignment horizontal="center" vertical="center" wrapText="1"/>
    </xf>
    <xf numFmtId="43" fontId="2" fillId="0" borderId="15" xfId="1" quotePrefix="1" applyFont="1" applyFill="1" applyBorder="1" applyAlignment="1">
      <alignment horizontal="center" vertical="center" wrapText="1"/>
    </xf>
    <xf numFmtId="43" fontId="2" fillId="0" borderId="5" xfId="1" quotePrefix="1" applyFont="1" applyFill="1" applyBorder="1" applyAlignment="1">
      <alignment horizontal="center" vertical="center" wrapText="1"/>
    </xf>
    <xf numFmtId="0" fontId="5" fillId="0" borderId="7" xfId="0" applyFont="1" applyFill="1" applyBorder="1"/>
    <xf numFmtId="165" fontId="5" fillId="0" borderId="7" xfId="1" applyNumberFormat="1" applyFont="1" applyFill="1" applyBorder="1"/>
    <xf numFmtId="165" fontId="5" fillId="0" borderId="4" xfId="1" applyNumberFormat="1" applyFont="1" applyFill="1" applyBorder="1"/>
    <xf numFmtId="0" fontId="5" fillId="0" borderId="9" xfId="0" applyFont="1" applyFill="1" applyBorder="1"/>
    <xf numFmtId="0" fontId="5" fillId="0" borderId="5" xfId="0" applyFont="1" applyFill="1" applyBorder="1"/>
    <xf numFmtId="0" fontId="2" fillId="0" borderId="1" xfId="0" applyFont="1" applyFill="1" applyBorder="1"/>
    <xf numFmtId="0" fontId="2" fillId="0" borderId="6" xfId="0" applyFont="1" applyFill="1" applyBorder="1"/>
    <xf numFmtId="0" fontId="2" fillId="0" borderId="6" xfId="0" applyFont="1" applyFill="1" applyBorder="1" applyAlignment="1">
      <alignment horizontal="centerContinuous"/>
    </xf>
    <xf numFmtId="0" fontId="2" fillId="0" borderId="8" xfId="0" applyFont="1" applyFill="1" applyBorder="1" applyAlignment="1">
      <alignment horizontal="centerContinuous"/>
    </xf>
    <xf numFmtId="0" fontId="2" fillId="0" borderId="9" xfId="0" applyFont="1" applyFill="1" applyBorder="1"/>
    <xf numFmtId="0" fontId="2" fillId="0" borderId="5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" fillId="0" borderId="7" xfId="0" applyFont="1" applyFill="1" applyBorder="1"/>
    <xf numFmtId="0" fontId="2" fillId="0" borderId="4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4" fontId="3" fillId="0" borderId="7" xfId="1" applyNumberFormat="1" applyFont="1" applyFill="1" applyBorder="1"/>
    <xf numFmtId="164" fontId="3" fillId="0" borderId="4" xfId="1" applyNumberFormat="1" applyFont="1" applyFill="1" applyBorder="1"/>
    <xf numFmtId="164" fontId="3" fillId="0" borderId="11" xfId="1" applyNumberFormat="1" applyFont="1" applyFill="1" applyBorder="1"/>
    <xf numFmtId="164" fontId="5" fillId="0" borderId="7" xfId="1" applyNumberFormat="1" applyFont="1" applyFill="1" applyBorder="1"/>
    <xf numFmtId="164" fontId="5" fillId="0" borderId="11" xfId="1" applyNumberFormat="1" applyFont="1" applyFill="1" applyBorder="1"/>
    <xf numFmtId="164" fontId="3" fillId="0" borderId="9" xfId="1" applyNumberFormat="1" applyFont="1" applyFill="1" applyBorder="1"/>
    <xf numFmtId="164" fontId="3" fillId="0" borderId="5" xfId="1" applyNumberFormat="1" applyFont="1" applyFill="1" applyBorder="1"/>
    <xf numFmtId="164" fontId="3" fillId="0" borderId="10" xfId="1" applyNumberFormat="1" applyFont="1" applyFill="1" applyBorder="1"/>
    <xf numFmtId="1" fontId="5" fillId="0" borderId="5" xfId="0" applyNumberFormat="1" applyFont="1" applyFill="1" applyBorder="1"/>
    <xf numFmtId="1" fontId="2" fillId="0" borderId="3" xfId="0" applyNumberFormat="1" applyFont="1" applyFill="1" applyBorder="1" applyAlignment="1">
      <alignment horizontal="center"/>
    </xf>
    <xf numFmtId="166" fontId="5" fillId="0" borderId="0" xfId="0" applyNumberFormat="1" applyFont="1" applyFill="1"/>
    <xf numFmtId="166" fontId="5" fillId="0" borderId="3" xfId="0" applyNumberFormat="1" applyFont="1" applyFill="1" applyBorder="1" applyAlignment="1">
      <alignment horizontal="center"/>
    </xf>
    <xf numFmtId="166" fontId="5" fillId="0" borderId="0" xfId="0" applyNumberFormat="1" applyFont="1" applyFill="1" applyBorder="1" applyAlignment="1">
      <alignment horizontal="center"/>
    </xf>
    <xf numFmtId="0" fontId="5" fillId="0" borderId="2" xfId="0" applyFont="1" applyFill="1" applyBorder="1"/>
    <xf numFmtId="3" fontId="2" fillId="0" borderId="2" xfId="0" applyNumberFormat="1" applyFont="1" applyFill="1" applyBorder="1" applyAlignment="1">
      <alignment horizontal="right"/>
    </xf>
    <xf numFmtId="164" fontId="2" fillId="0" borderId="2" xfId="1" applyNumberFormat="1" applyFont="1" applyFill="1" applyBorder="1" applyAlignment="1">
      <alignment horizontal="right"/>
    </xf>
    <xf numFmtId="164" fontId="2" fillId="0" borderId="0" xfId="1" applyNumberFormat="1" applyFont="1" applyFill="1" applyBorder="1" applyAlignment="1">
      <alignment horizontal="right"/>
    </xf>
    <xf numFmtId="0" fontId="25" fillId="0" borderId="0" xfId="0" applyFont="1" applyFill="1" applyBorder="1"/>
    <xf numFmtId="3" fontId="3" fillId="0" borderId="0" xfId="0" applyNumberFormat="1" applyFont="1" applyFill="1" applyBorder="1" applyAlignment="1"/>
    <xf numFmtId="1" fontId="5" fillId="0" borderId="0" xfId="0" applyNumberFormat="1" applyFont="1" applyFill="1" applyBorder="1"/>
    <xf numFmtId="0" fontId="3" fillId="0" borderId="0" xfId="0" applyFont="1" applyFill="1" applyBorder="1" applyAlignment="1">
      <alignment horizontal="centerContinuous"/>
    </xf>
    <xf numFmtId="0" fontId="25" fillId="0" borderId="3" xfId="0" applyFont="1" applyFill="1" applyBorder="1"/>
    <xf numFmtId="0" fontId="3" fillId="0" borderId="3" xfId="0" applyFont="1" applyFill="1" applyBorder="1"/>
    <xf numFmtId="3" fontId="3" fillId="0" borderId="3" xfId="0" applyNumberFormat="1" applyFont="1" applyFill="1" applyBorder="1" applyAlignment="1"/>
    <xf numFmtId="0" fontId="2" fillId="0" borderId="5" xfId="0" applyFont="1" applyFill="1" applyBorder="1"/>
    <xf numFmtId="0" fontId="2" fillId="0" borderId="10" xfId="0" applyFont="1" applyFill="1" applyBorder="1" applyAlignment="1">
      <alignment horizontal="center" wrapText="1"/>
    </xf>
    <xf numFmtId="0" fontId="3" fillId="0" borderId="0" xfId="0" applyFont="1" applyFill="1" applyAlignment="1">
      <alignment horizontal="left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37" fontId="6" fillId="0" borderId="0" xfId="3" applyNumberFormat="1" applyFont="1" applyFill="1" applyAlignment="1">
      <alignment horizontal="right"/>
    </xf>
    <xf numFmtId="169" fontId="6" fillId="0" borderId="0" xfId="3" applyNumberFormat="1" applyFont="1" applyFill="1" applyAlignment="1">
      <alignment horizontal="right"/>
    </xf>
    <xf numFmtId="37" fontId="6" fillId="0" borderId="4" xfId="3" applyNumberFormat="1" applyFont="1" applyFill="1" applyBorder="1" applyAlignment="1">
      <alignment horizontal="right"/>
    </xf>
    <xf numFmtId="37" fontId="6" fillId="0" borderId="0" xfId="3" applyNumberFormat="1" applyFont="1" applyFill="1" applyBorder="1" applyAlignment="1">
      <alignment horizontal="right"/>
    </xf>
    <xf numFmtId="169" fontId="6" fillId="0" borderId="11" xfId="3" applyNumberFormat="1" applyFont="1" applyFill="1" applyBorder="1" applyAlignment="1">
      <alignment horizontal="right"/>
    </xf>
    <xf numFmtId="169" fontId="6" fillId="0" borderId="0" xfId="3" applyNumberFormat="1" applyFont="1" applyFill="1" applyBorder="1" applyAlignment="1">
      <alignment horizontal="right"/>
    </xf>
    <xf numFmtId="37" fontId="3" fillId="0" borderId="0" xfId="3" applyNumberFormat="1" applyFont="1" applyFill="1" applyAlignment="1">
      <alignment horizontal="right"/>
    </xf>
    <xf numFmtId="0" fontId="3" fillId="0" borderId="0" xfId="1" applyNumberFormat="1" applyFont="1" applyFill="1" applyAlignment="1">
      <alignment horizontal="right"/>
    </xf>
    <xf numFmtId="169" fontId="3" fillId="0" borderId="0" xfId="3" applyNumberFormat="1" applyFont="1" applyFill="1" applyAlignment="1">
      <alignment horizontal="right"/>
    </xf>
    <xf numFmtId="37" fontId="3" fillId="0" borderId="4" xfId="3" applyNumberFormat="1" applyFont="1" applyFill="1" applyBorder="1" applyAlignment="1">
      <alignment horizontal="right"/>
    </xf>
    <xf numFmtId="0" fontId="3" fillId="0" borderId="0" xfId="1" applyNumberFormat="1" applyFont="1" applyFill="1" applyBorder="1" applyAlignment="1">
      <alignment horizontal="right"/>
    </xf>
    <xf numFmtId="169" fontId="3" fillId="0" borderId="11" xfId="3" applyNumberFormat="1" applyFont="1" applyFill="1" applyBorder="1" applyAlignment="1">
      <alignment horizontal="right"/>
    </xf>
    <xf numFmtId="169" fontId="3" fillId="0" borderId="0" xfId="3" applyNumberFormat="1" applyFont="1" applyFill="1" applyBorder="1" applyAlignment="1">
      <alignment horizontal="right"/>
    </xf>
    <xf numFmtId="164" fontId="3" fillId="0" borderId="0" xfId="3" applyNumberFormat="1" applyFont="1" applyFill="1" applyAlignment="1">
      <alignment horizontal="right"/>
    </xf>
    <xf numFmtId="169" fontId="5" fillId="0" borderId="0" xfId="3" applyNumberFormat="1" applyFont="1" applyFill="1" applyAlignment="1">
      <alignment horizontal="right"/>
    </xf>
    <xf numFmtId="164" fontId="3" fillId="0" borderId="4" xfId="3" applyNumberFormat="1" applyFont="1" applyFill="1" applyBorder="1" applyAlignment="1">
      <alignment horizontal="right"/>
    </xf>
    <xf numFmtId="164" fontId="3" fillId="0" borderId="0" xfId="1" applyNumberFormat="1" applyFont="1" applyFill="1" applyBorder="1" applyAlignment="1">
      <alignment horizontal="right"/>
    </xf>
    <xf numFmtId="169" fontId="5" fillId="0" borderId="11" xfId="3" applyNumberFormat="1" applyFont="1" applyFill="1" applyBorder="1" applyAlignment="1">
      <alignment horizontal="right"/>
    </xf>
    <xf numFmtId="169" fontId="5" fillId="0" borderId="0" xfId="3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left"/>
    </xf>
    <xf numFmtId="37" fontId="3" fillId="0" borderId="0" xfId="3" applyNumberFormat="1" applyFont="1" applyFill="1" applyBorder="1" applyAlignment="1">
      <alignment horizontal="right"/>
    </xf>
    <xf numFmtId="0" fontId="6" fillId="0" borderId="3" xfId="0" applyFont="1" applyFill="1" applyBorder="1" applyAlignment="1">
      <alignment horizontal="left"/>
    </xf>
    <xf numFmtId="37" fontId="6" fillId="0" borderId="3" xfId="3" applyNumberFormat="1" applyFont="1" applyFill="1" applyBorder="1" applyAlignment="1">
      <alignment horizontal="right"/>
    </xf>
    <xf numFmtId="169" fontId="6" fillId="0" borderId="3" xfId="3" applyNumberFormat="1" applyFont="1" applyFill="1" applyBorder="1" applyAlignment="1">
      <alignment horizontal="right"/>
    </xf>
    <xf numFmtId="37" fontId="6" fillId="0" borderId="5" xfId="3" applyNumberFormat="1" applyFont="1" applyFill="1" applyBorder="1" applyAlignment="1">
      <alignment horizontal="right"/>
    </xf>
    <xf numFmtId="169" fontId="6" fillId="0" borderId="10" xfId="3" applyNumberFormat="1" applyFont="1" applyFill="1" applyBorder="1" applyAlignment="1">
      <alignment horizontal="right"/>
    </xf>
    <xf numFmtId="37" fontId="3" fillId="0" borderId="0" xfId="1" applyNumberFormat="1" applyFont="1" applyFill="1" applyAlignment="1">
      <alignment horizontal="right"/>
    </xf>
    <xf numFmtId="0" fontId="3" fillId="0" borderId="3" xfId="0" applyFont="1" applyFill="1" applyBorder="1" applyAlignment="1">
      <alignment horizontal="left"/>
    </xf>
    <xf numFmtId="164" fontId="3" fillId="0" borderId="3" xfId="1" applyNumberFormat="1" applyFont="1" applyFill="1" applyBorder="1" applyAlignment="1">
      <alignment horizontal="right"/>
    </xf>
    <xf numFmtId="37" fontId="3" fillId="0" borderId="3" xfId="1" applyNumberFormat="1" applyFont="1" applyFill="1" applyBorder="1" applyAlignment="1">
      <alignment horizontal="right"/>
    </xf>
    <xf numFmtId="169" fontId="5" fillId="0" borderId="3" xfId="3" applyNumberFormat="1" applyFont="1" applyFill="1" applyBorder="1" applyAlignment="1">
      <alignment horizontal="right"/>
    </xf>
    <xf numFmtId="0" fontId="17" fillId="0" borderId="0" xfId="4" applyFont="1" applyFill="1" applyBorder="1" applyAlignment="1"/>
    <xf numFmtId="0" fontId="17" fillId="0" borderId="0" xfId="4" applyFont="1" applyFill="1" applyBorder="1" applyAlignment="1">
      <alignment horizontal="center"/>
    </xf>
    <xf numFmtId="0" fontId="16" fillId="0" borderId="0" xfId="4" applyFill="1" applyBorder="1" applyAlignment="1"/>
    <xf numFmtId="164" fontId="0" fillId="0" borderId="0" xfId="0" applyNumberFormat="1" applyFont="1" applyFill="1"/>
    <xf numFmtId="0" fontId="17" fillId="0" borderId="0" xfId="4" applyFont="1" applyFill="1" applyBorder="1" applyAlignment="1">
      <alignment vertical="top"/>
    </xf>
    <xf numFmtId="0" fontId="17" fillId="0" borderId="0" xfId="4" applyFont="1" applyFill="1" applyBorder="1" applyAlignment="1">
      <alignment horizontal="left" vertical="top"/>
    </xf>
    <xf numFmtId="172" fontId="17" fillId="0" borderId="0" xfId="4" applyNumberFormat="1" applyFont="1" applyFill="1" applyBorder="1" applyAlignment="1">
      <alignment horizontal="right" vertical="top"/>
    </xf>
    <xf numFmtId="173" fontId="17" fillId="0" borderId="0" xfId="4" applyNumberFormat="1" applyFont="1" applyFill="1" applyBorder="1" applyAlignment="1">
      <alignment horizontal="right" vertical="top"/>
    </xf>
    <xf numFmtId="0" fontId="21" fillId="0" borderId="0" xfId="0" applyFont="1" applyFill="1" applyAlignment="1">
      <alignment horizontal="right"/>
    </xf>
    <xf numFmtId="164" fontId="20" fillId="0" borderId="0" xfId="1" applyNumberFormat="1" applyFont="1" applyFill="1" applyBorder="1" applyAlignment="1">
      <alignment horizontal="right"/>
    </xf>
    <xf numFmtId="164" fontId="21" fillId="0" borderId="0" xfId="1" applyNumberFormat="1" applyFont="1" applyFill="1" applyBorder="1" applyAlignment="1">
      <alignment horizontal="right"/>
    </xf>
    <xf numFmtId="164" fontId="6" fillId="0" borderId="0" xfId="1" applyNumberFormat="1" applyFont="1" applyFill="1" applyAlignment="1">
      <alignment horizontal="right"/>
    </xf>
    <xf numFmtId="0" fontId="2" fillId="0" borderId="2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3" fillId="0" borderId="0" xfId="0" applyFont="1" applyFill="1" applyAlignment="1">
      <alignment horizontal="left" vertical="top" wrapText="1"/>
    </xf>
    <xf numFmtId="0" fontId="3" fillId="0" borderId="3" xfId="0" applyFont="1" applyFill="1" applyBorder="1" applyAlignment="1">
      <alignment wrapText="1"/>
    </xf>
    <xf numFmtId="0" fontId="26" fillId="0" borderId="0" xfId="0" applyFont="1" applyFill="1"/>
    <xf numFmtId="0" fontId="2" fillId="0" borderId="0" xfId="0" applyFont="1" applyFill="1" applyAlignment="1" applyProtection="1">
      <alignment horizontal="left"/>
    </xf>
    <xf numFmtId="0" fontId="2" fillId="0" borderId="0" xfId="0" applyFont="1" applyFill="1" applyProtection="1"/>
    <xf numFmtId="0" fontId="3" fillId="0" borderId="3" xfId="0" applyFont="1" applyFill="1" applyBorder="1" applyAlignment="1" applyProtection="1">
      <alignment horizontal="fill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Alignment="1" applyProtection="1">
      <alignment horizontal="right"/>
    </xf>
    <xf numFmtId="0" fontId="3" fillId="0" borderId="3" xfId="0" applyFont="1" applyFill="1" applyBorder="1" applyAlignment="1" applyProtection="1">
      <alignment horizontal="left"/>
    </xf>
    <xf numFmtId="0" fontId="3" fillId="0" borderId="3" xfId="0" applyFont="1" applyFill="1" applyBorder="1" applyAlignment="1" applyProtection="1">
      <alignment horizontal="right"/>
    </xf>
    <xf numFmtId="0" fontId="3" fillId="0" borderId="0" xfId="0" applyFont="1" applyFill="1" applyAlignment="1" applyProtection="1">
      <alignment horizontal="fill"/>
    </xf>
    <xf numFmtId="0" fontId="3" fillId="0" borderId="0" xfId="0" applyFont="1" applyFill="1" applyProtection="1"/>
    <xf numFmtId="174" fontId="3" fillId="0" borderId="0" xfId="0" applyNumberFormat="1" applyFont="1" applyFill="1" applyProtection="1"/>
    <xf numFmtId="175" fontId="3" fillId="0" borderId="0" xfId="0" applyNumberFormat="1" applyFont="1" applyFill="1" applyProtection="1"/>
    <xf numFmtId="37" fontId="3" fillId="0" borderId="0" xfId="0" applyNumberFormat="1" applyFont="1" applyFill="1" applyProtection="1"/>
    <xf numFmtId="176" fontId="3" fillId="0" borderId="0" xfId="0" applyNumberFormat="1" applyFont="1" applyFill="1" applyProtection="1"/>
    <xf numFmtId="176" fontId="3" fillId="0" borderId="0" xfId="1" applyNumberFormat="1" applyFont="1" applyFill="1" applyProtection="1"/>
    <xf numFmtId="0" fontId="3" fillId="0" borderId="3" xfId="0" applyFont="1" applyFill="1" applyBorder="1" applyProtection="1"/>
    <xf numFmtId="174" fontId="3" fillId="0" borderId="3" xfId="0" applyNumberFormat="1" applyFont="1" applyFill="1" applyBorder="1" applyProtection="1"/>
    <xf numFmtId="175" fontId="3" fillId="0" borderId="3" xfId="0" applyNumberFormat="1" applyFont="1" applyFill="1" applyBorder="1" applyProtection="1"/>
    <xf numFmtId="37" fontId="3" fillId="0" borderId="3" xfId="0" applyNumberFormat="1" applyFont="1" applyFill="1" applyBorder="1" applyProtection="1"/>
    <xf numFmtId="176" fontId="3" fillId="0" borderId="3" xfId="1" applyNumberFormat="1" applyFont="1" applyFill="1" applyBorder="1" applyProtection="1"/>
    <xf numFmtId="0" fontId="3" fillId="0" borderId="0" xfId="0" applyFont="1" applyFill="1" applyBorder="1" applyAlignment="1" applyProtection="1">
      <alignment horizontal="left"/>
    </xf>
    <xf numFmtId="0" fontId="3" fillId="0" borderId="0" xfId="0" applyFont="1" applyFill="1" applyBorder="1" applyProtection="1"/>
    <xf numFmtId="174" fontId="3" fillId="0" borderId="0" xfId="0" applyNumberFormat="1" applyFont="1" applyFill="1" applyBorder="1" applyProtection="1"/>
    <xf numFmtId="175" fontId="3" fillId="0" borderId="0" xfId="0" applyNumberFormat="1" applyFont="1" applyFill="1" applyBorder="1" applyProtection="1"/>
    <xf numFmtId="37" fontId="3" fillId="0" borderId="0" xfId="0" applyNumberFormat="1" applyFont="1" applyFill="1" applyBorder="1" applyProtection="1"/>
    <xf numFmtId="176" fontId="3" fillId="0" borderId="0" xfId="1" applyNumberFormat="1" applyFont="1" applyFill="1" applyBorder="1" applyProtection="1"/>
    <xf numFmtId="0" fontId="28" fillId="0" borderId="0" xfId="0" applyFont="1" applyFill="1"/>
    <xf numFmtId="177" fontId="3" fillId="0" borderId="0" xfId="0" applyNumberFormat="1" applyFont="1" applyFill="1" applyProtection="1"/>
    <xf numFmtId="0" fontId="26" fillId="0" borderId="0" xfId="0" applyFont="1" applyFill="1" applyAlignment="1" applyProtection="1">
      <alignment horizontal="left"/>
    </xf>
    <xf numFmtId="0" fontId="26" fillId="0" borderId="0" xfId="0" applyFont="1" applyFill="1" applyProtection="1"/>
    <xf numFmtId="177" fontId="26" fillId="0" borderId="0" xfId="0" applyNumberFormat="1" applyFont="1" applyFill="1" applyAlignment="1" applyProtection="1">
      <alignment horizontal="left"/>
    </xf>
    <xf numFmtId="37" fontId="26" fillId="0" borderId="0" xfId="0" applyNumberFormat="1" applyFont="1" applyFill="1" applyAlignment="1" applyProtection="1">
      <alignment horizontal="left"/>
    </xf>
    <xf numFmtId="0" fontId="27" fillId="0" borderId="0" xfId="0" applyFont="1" applyFill="1" applyProtection="1">
      <protection locked="0"/>
    </xf>
    <xf numFmtId="0" fontId="26" fillId="0" borderId="0" xfId="0" applyFont="1" applyFill="1" applyAlignment="1" applyProtection="1">
      <alignment horizontal="fill"/>
    </xf>
    <xf numFmtId="0" fontId="26" fillId="0" borderId="0" xfId="0" applyFont="1" applyFill="1" applyAlignment="1" applyProtection="1">
      <alignment horizontal="right"/>
    </xf>
    <xf numFmtId="177" fontId="26" fillId="0" borderId="0" xfId="0" applyNumberFormat="1" applyFont="1" applyFill="1" applyProtection="1"/>
    <xf numFmtId="178" fontId="26" fillId="0" borderId="0" xfId="0" applyNumberFormat="1" applyFont="1" applyFill="1" applyProtection="1"/>
    <xf numFmtId="175" fontId="26" fillId="0" borderId="0" xfId="0" applyNumberFormat="1" applyFont="1" applyFill="1" applyProtection="1"/>
    <xf numFmtId="174" fontId="26" fillId="0" borderId="0" xfId="0" applyNumberFormat="1" applyFont="1" applyFill="1" applyProtection="1"/>
    <xf numFmtId="37" fontId="26" fillId="0" borderId="0" xfId="0" applyNumberFormat="1" applyFont="1" applyFill="1" applyProtection="1"/>
    <xf numFmtId="174" fontId="26" fillId="0" borderId="0" xfId="0" applyNumberFormat="1" applyFont="1" applyFill="1" applyAlignment="1" applyProtection="1">
      <alignment horizontal="left"/>
    </xf>
    <xf numFmtId="179" fontId="26" fillId="0" borderId="0" xfId="0" applyNumberFormat="1" applyFont="1" applyFill="1" applyProtection="1"/>
    <xf numFmtId="171" fontId="3" fillId="2" borderId="0" xfId="2" applyNumberForma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6" fillId="2" borderId="0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center" wrapText="1"/>
    </xf>
    <xf numFmtId="0" fontId="5" fillId="2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top"/>
    </xf>
    <xf numFmtId="0" fontId="2" fillId="0" borderId="3" xfId="0" applyFont="1" applyFill="1" applyBorder="1" applyAlignment="1">
      <alignment horizontal="center" vertical="top"/>
    </xf>
    <xf numFmtId="0" fontId="2" fillId="0" borderId="2" xfId="1" applyNumberFormat="1" applyFont="1" applyFill="1" applyBorder="1" applyAlignment="1">
      <alignment horizontal="center"/>
    </xf>
    <xf numFmtId="0" fontId="2" fillId="0" borderId="14" xfId="1" applyNumberFormat="1" applyFont="1" applyFill="1" applyBorder="1" applyAlignment="1">
      <alignment horizontal="center"/>
    </xf>
    <xf numFmtId="0" fontId="2" fillId="0" borderId="13" xfId="1" applyNumberFormat="1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left"/>
    </xf>
    <xf numFmtId="0" fontId="2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right" vertical="center"/>
    </xf>
    <xf numFmtId="0" fontId="5" fillId="0" borderId="3" xfId="0" applyFont="1" applyFill="1" applyBorder="1" applyAlignment="1">
      <alignment horizontal="right" vertical="center"/>
    </xf>
    <xf numFmtId="0" fontId="2" fillId="0" borderId="12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3" fillId="0" borderId="0" xfId="0" applyFont="1" applyFill="1" applyAlignment="1">
      <alignment horizontal="left" vertical="top" wrapText="1"/>
    </xf>
    <xf numFmtId="0" fontId="3" fillId="0" borderId="1" xfId="0" applyFont="1" applyFill="1" applyBorder="1" applyAlignment="1">
      <alignment horizontal="left"/>
    </xf>
    <xf numFmtId="0" fontId="3" fillId="0" borderId="3" xfId="0" applyFont="1" applyFill="1" applyBorder="1" applyAlignment="1">
      <alignment horizontal="left"/>
    </xf>
  </cellXfs>
  <cellStyles count="14">
    <cellStyle name="Comma" xfId="1" builtinId="3"/>
    <cellStyle name="Comma 2" xfId="3" xr:uid="{00000000-0005-0000-0000-000001000000}"/>
    <cellStyle name="Comma 2 2" xfId="7" xr:uid="{00000000-0005-0000-0000-000002000000}"/>
    <cellStyle name="Comma 3" xfId="6" xr:uid="{00000000-0005-0000-0000-000003000000}"/>
    <cellStyle name="Comma 3 2" xfId="9" xr:uid="{00000000-0005-0000-0000-000004000000}"/>
    <cellStyle name="Normal" xfId="0" builtinId="0"/>
    <cellStyle name="Normal 2" xfId="2" xr:uid="{00000000-0005-0000-0000-000006000000}"/>
    <cellStyle name="Normal 2 2" xfId="8" xr:uid="{00000000-0005-0000-0000-000007000000}"/>
    <cellStyle name="Normal 3" xfId="5" xr:uid="{00000000-0005-0000-0000-000008000000}"/>
    <cellStyle name="Normal 3 2" xfId="10" xr:uid="{00000000-0005-0000-0000-000009000000}"/>
    <cellStyle name="Normal 4" xfId="11" xr:uid="{00000000-0005-0000-0000-00000A000000}"/>
    <cellStyle name="Normal 5" xfId="12" xr:uid="{00000000-0005-0000-0000-00000B000000}"/>
    <cellStyle name="Normal_.06" xfId="13" xr:uid="{00000000-0005-0000-0000-00000C000000}"/>
    <cellStyle name="Normal_1.13" xfId="4" xr:uid="{00000000-0005-0000-0000-00000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1"/>
          <c:order val="0"/>
          <c:tx>
            <c:strRef>
              <c:f>'.07'!$D$10</c:f>
              <c:strCache>
                <c:ptCount val="1"/>
                <c:pt idx="0">
                  <c:v>Resident Population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'.07'!$C$12:$C$24</c:f>
              <c:numCache>
                <c:formatCode>General</c:formatCode>
                <c:ptCount val="13"/>
                <c:pt idx="0">
                  <c:v>1802</c:v>
                </c:pt>
                <c:pt idx="1">
                  <c:v>1891</c:v>
                </c:pt>
                <c:pt idx="2">
                  <c:v>1911</c:v>
                </c:pt>
                <c:pt idx="3">
                  <c:v>1921</c:v>
                </c:pt>
                <c:pt idx="4">
                  <c:v>1934</c:v>
                </c:pt>
                <c:pt idx="5">
                  <c:v>1943</c:v>
                </c:pt>
                <c:pt idx="6">
                  <c:v>1960</c:v>
                </c:pt>
                <c:pt idx="7">
                  <c:v>1970</c:v>
                </c:pt>
                <c:pt idx="8">
                  <c:v>1979</c:v>
                </c:pt>
                <c:pt idx="9">
                  <c:v>1989</c:v>
                </c:pt>
                <c:pt idx="10">
                  <c:v>1999</c:v>
                </c:pt>
                <c:pt idx="11">
                  <c:v>2010</c:v>
                </c:pt>
                <c:pt idx="12">
                  <c:v>2021</c:v>
                </c:pt>
              </c:numCache>
            </c:numRef>
          </c:cat>
          <c:val>
            <c:numRef>
              <c:f>'.07'!$D$11:$D$24</c:f>
              <c:numCache>
                <c:formatCode>_(* #,##0_);_(* \(#,##0\);_(* "-"??_);_(@_)</c:formatCode>
                <c:ptCount val="14"/>
                <c:pt idx="1">
                  <c:v>933</c:v>
                </c:pt>
                <c:pt idx="2">
                  <c:v>4322</c:v>
                </c:pt>
                <c:pt idx="3">
                  <c:v>5564</c:v>
                </c:pt>
                <c:pt idx="4">
                  <c:v>5270</c:v>
                </c:pt>
                <c:pt idx="5">
                  <c:v>5930</c:v>
                </c:pt>
                <c:pt idx="6">
                  <c:v>6690</c:v>
                </c:pt>
                <c:pt idx="7">
                  <c:v>8511</c:v>
                </c:pt>
                <c:pt idx="8">
                  <c:v>10068</c:v>
                </c:pt>
                <c:pt idx="9">
                  <c:v>16677</c:v>
                </c:pt>
                <c:pt idx="10">
                  <c:v>25355</c:v>
                </c:pt>
                <c:pt idx="11">
                  <c:v>39020</c:v>
                </c:pt>
                <c:pt idx="12">
                  <c:v>55036</c:v>
                </c:pt>
                <c:pt idx="13">
                  <c:v>71104.754466624552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CE-4D48-8AF5-E1EC5945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497536"/>
        <c:axId val="337501456"/>
      </c:lineChart>
      <c:catAx>
        <c:axId val="33749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7501456"/>
        <c:crosses val="autoZero"/>
        <c:auto val="1"/>
        <c:lblAlgn val="ctr"/>
        <c:lblOffset val="100"/>
        <c:noMultiLvlLbl val="0"/>
      </c:catAx>
      <c:valAx>
        <c:axId val="33750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7497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accent5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r>
              <a:rPr lang="en-US" sz="1000">
                <a:latin typeface="Arial" pitchFamily="34" charset="0"/>
                <a:cs typeface="Arial" pitchFamily="34" charset="0"/>
              </a:rPr>
              <a:t>Chart 1.01 Households by District, 2022</a:t>
            </a:r>
          </a:p>
        </c:rich>
      </c:tx>
      <c:layout>
        <c:manualLayout>
          <c:xMode val="edge"/>
          <c:yMode val="edge"/>
          <c:x val="0.22602430506354393"/>
          <c:y val="2.624863589766201E-2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95878924225385"/>
          <c:y val="0.2350794764515822"/>
          <c:w val="0.75205644748951872"/>
          <c:h val="0.62885094808693476"/>
        </c:manualLayout>
      </c:layout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1.1174103237095372E-2"/>
                  <c:y val="-0.2030282152230971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George Town
52.7%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9B-4A80-A830-BF2E771B7FAA}"/>
                </c:ext>
              </c:extLst>
            </c:dLbl>
            <c:dLbl>
              <c:idx val="1"/>
              <c:layout>
                <c:manualLayout>
                  <c:x val="-3.7045931758530208E-2"/>
                  <c:y val="-5.13651939340916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
West Bay
20.5%</a:t>
                    </a:r>
                  </a:p>
                </c:rich>
              </c:tx>
              <c:showLegendKey val="0"/>
              <c:showVal val="0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9B-4A80-A830-BF2E771B7FAA}"/>
                </c:ext>
              </c:extLst>
            </c:dLbl>
            <c:dLbl>
              <c:idx val="2"/>
              <c:layout>
                <c:manualLayout>
                  <c:x val="-3.9409230096237972E-2"/>
                  <c:y val="3.286125692621758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Bodden Town
18.0%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9B-4A80-A830-BF2E771B7FAA}"/>
                </c:ext>
              </c:extLst>
            </c:dLbl>
            <c:dLbl>
              <c:idx val="3"/>
              <c:layout>
                <c:manualLayout>
                  <c:x val="-4.3052930883639602E-2"/>
                  <c:y val="-2.85301837270341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North Side
2.3%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9B-4A80-A830-BF2E771B7FAA}"/>
                </c:ext>
              </c:extLst>
            </c:dLbl>
            <c:dLbl>
              <c:idx val="4"/>
              <c:layout>
                <c:manualLayout>
                  <c:x val="5.6275147424753688E-2"/>
                  <c:y val="-1.43672634980033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East End
2.5%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9B-4A80-A830-BF2E771B7FAA}"/>
                </c:ext>
              </c:extLst>
            </c:dLbl>
            <c:dLbl>
              <c:idx val="5"/>
              <c:layout>
                <c:manualLayout>
                  <c:x val="0.1656697003783619"/>
                  <c:y val="-2.08675998833479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Sister Islands 
3.8%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9B-4A80-A830-BF2E771B7F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'1.15'!$J$29:$J$34</c:f>
              <c:strCache>
                <c:ptCount val="6"/>
                <c:pt idx="0">
                  <c:v>George Town</c:v>
                </c:pt>
                <c:pt idx="1">
                  <c:v>West Bay</c:v>
                </c:pt>
                <c:pt idx="2">
                  <c:v>Bodden Town</c:v>
                </c:pt>
                <c:pt idx="3">
                  <c:v>North Side</c:v>
                </c:pt>
                <c:pt idx="4">
                  <c:v>East End</c:v>
                </c:pt>
                <c:pt idx="5">
                  <c:v>Sister Islands </c:v>
                </c:pt>
              </c:strCache>
            </c:strRef>
          </c:cat>
          <c:val>
            <c:numRef>
              <c:f>'1.15'!$K$29:$K$34</c:f>
              <c:numCache>
                <c:formatCode>_(* #,##0_);_(* \(#,##0\);_(* "-"??_);_(@_)</c:formatCode>
                <c:ptCount val="6"/>
                <c:pt idx="0">
                  <c:v>18002.51363885809</c:v>
                </c:pt>
                <c:pt idx="1">
                  <c:v>7011.745587828691</c:v>
                </c:pt>
                <c:pt idx="2">
                  <c:v>6166.2380385530259</c:v>
                </c:pt>
                <c:pt idx="3">
                  <c:v>774.40132811116769</c:v>
                </c:pt>
                <c:pt idx="4">
                  <c:v>865.51026540420844</c:v>
                </c:pt>
                <c:pt idx="5">
                  <c:v>1312.6598177791457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9B-4A80-A830-BF2E771B7F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333375</xdr:colOff>
      <xdr:row>17</xdr:row>
      <xdr:rowOff>104775</xdr:rowOff>
    </xdr:from>
    <xdr:to>
      <xdr:col>11</xdr:col>
      <xdr:colOff>228600</xdr:colOff>
      <xdr:row>44</xdr:row>
      <xdr:rowOff>114300</xdr:rowOff>
    </xdr:to>
    <xdr:pic>
      <xdr:nvPicPr>
        <xdr:cNvPr id="2" name="Picture 3" descr="Census Logo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381375" y="3028950"/>
          <a:ext cx="4124325" cy="4381500"/>
        </a:xfrm>
        <a:prstGeom prst="rect">
          <a:avLst/>
        </a:prstGeom>
        <a:noFill/>
        <a:ln w="9525" algn="in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0</xdr:row>
      <xdr:rowOff>142875</xdr:rowOff>
    </xdr:from>
    <xdr:to>
      <xdr:col>18</xdr:col>
      <xdr:colOff>533400</xdr:colOff>
      <xdr:row>89</xdr:row>
      <xdr:rowOff>95250</xdr:rowOff>
    </xdr:to>
    <xdr:pic>
      <xdr:nvPicPr>
        <xdr:cNvPr id="3" name="Picture 5" descr="C:\Documents and Settings\narnia_EU\Desktop\Compendium cover pages 2011\1 Population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14450" y="142875"/>
          <a:ext cx="10763250" cy="1453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371475</xdr:colOff>
          <xdr:row>3</xdr:row>
          <xdr:rowOff>152400</xdr:rowOff>
        </xdr:from>
        <xdr:to>
          <xdr:col>6</xdr:col>
          <xdr:colOff>228600</xdr:colOff>
          <xdr:row>7</xdr:row>
          <xdr:rowOff>95250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00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47625</xdr:rowOff>
        </xdr:from>
        <xdr:to>
          <xdr:col>1</xdr:col>
          <xdr:colOff>581025</xdr:colOff>
          <xdr:row>3</xdr:row>
          <xdr:rowOff>76200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09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80962</xdr:colOff>
      <xdr:row>30</xdr:row>
      <xdr:rowOff>52387</xdr:rowOff>
    </xdr:from>
    <xdr:to>
      <xdr:col>7</xdr:col>
      <xdr:colOff>52387</xdr:colOff>
      <xdr:row>46</xdr:row>
      <xdr:rowOff>147637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0</xdr:row>
          <xdr:rowOff>47625</xdr:rowOff>
        </xdr:from>
        <xdr:to>
          <xdr:col>1</xdr:col>
          <xdr:colOff>485775</xdr:colOff>
          <xdr:row>3</xdr:row>
          <xdr:rowOff>66675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A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38100</xdr:rowOff>
        </xdr:from>
        <xdr:to>
          <xdr:col>1</xdr:col>
          <xdr:colOff>209550</xdr:colOff>
          <xdr:row>3</xdr:row>
          <xdr:rowOff>28575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B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28575</xdr:rowOff>
        </xdr:from>
        <xdr:to>
          <xdr:col>1</xdr:col>
          <xdr:colOff>104775</xdr:colOff>
          <xdr:row>3</xdr:row>
          <xdr:rowOff>9525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C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47625</xdr:rowOff>
        </xdr:from>
        <xdr:to>
          <xdr:col>1</xdr:col>
          <xdr:colOff>542925</xdr:colOff>
          <xdr:row>3</xdr:row>
          <xdr:rowOff>9525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D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47625</xdr:rowOff>
        </xdr:from>
        <xdr:to>
          <xdr:col>0</xdr:col>
          <xdr:colOff>504825</xdr:colOff>
          <xdr:row>2</xdr:row>
          <xdr:rowOff>47625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E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47625</xdr:rowOff>
        </xdr:from>
        <xdr:to>
          <xdr:col>1</xdr:col>
          <xdr:colOff>400050</xdr:colOff>
          <xdr:row>2</xdr:row>
          <xdr:rowOff>114300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F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19050</xdr:rowOff>
        </xdr:from>
        <xdr:to>
          <xdr:col>1</xdr:col>
          <xdr:colOff>676275</xdr:colOff>
          <xdr:row>3</xdr:row>
          <xdr:rowOff>28575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10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504825</xdr:colOff>
      <xdr:row>32</xdr:row>
      <xdr:rowOff>0</xdr:rowOff>
    </xdr:from>
    <xdr:to>
      <xdr:col>6</xdr:col>
      <xdr:colOff>368299</xdr:colOff>
      <xdr:row>51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57150</xdr:rowOff>
        </xdr:from>
        <xdr:to>
          <xdr:col>1</xdr:col>
          <xdr:colOff>552450</xdr:colOff>
          <xdr:row>4</xdr:row>
          <xdr:rowOff>9525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  <a:ext uri="{FF2B5EF4-FFF2-40B4-BE49-F238E27FC236}">
                  <a16:creationId xmlns:a16="http://schemas.microsoft.com/office/drawing/2014/main" id="{00000000-0008-0000-1100-00000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57150</xdr:rowOff>
        </xdr:from>
        <xdr:to>
          <xdr:col>1</xdr:col>
          <xdr:colOff>257175</xdr:colOff>
          <xdr:row>2</xdr:row>
          <xdr:rowOff>85725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57150</xdr:rowOff>
        </xdr:from>
        <xdr:to>
          <xdr:col>1</xdr:col>
          <xdr:colOff>257175</xdr:colOff>
          <xdr:row>2</xdr:row>
          <xdr:rowOff>85725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57150</xdr:rowOff>
        </xdr:from>
        <xdr:to>
          <xdr:col>1</xdr:col>
          <xdr:colOff>333375</xdr:colOff>
          <xdr:row>2</xdr:row>
          <xdr:rowOff>123825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57150</xdr:rowOff>
        </xdr:from>
        <xdr:to>
          <xdr:col>2</xdr:col>
          <xdr:colOff>133350</xdr:colOff>
          <xdr:row>3</xdr:row>
          <xdr:rowOff>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0</xdr:row>
          <xdr:rowOff>66675</xdr:rowOff>
        </xdr:from>
        <xdr:to>
          <xdr:col>2</xdr:col>
          <xdr:colOff>28575</xdr:colOff>
          <xdr:row>3</xdr:row>
          <xdr:rowOff>0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5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95250</xdr:colOff>
          <xdr:row>2</xdr:row>
          <xdr:rowOff>114300</xdr:rowOff>
        </xdr:to>
        <xdr:sp macro="" textlink="">
          <xdr:nvSpPr>
            <xdr:cNvPr id="74753" name="Object 1" hidden="1">
              <a:extLst>
                <a:ext uri="{63B3BB69-23CF-44E3-9099-C40C66FF867C}">
                  <a14:compatExt spid="_x0000_s74753"/>
                </a:ext>
                <a:ext uri="{FF2B5EF4-FFF2-40B4-BE49-F238E27FC236}">
                  <a16:creationId xmlns:a16="http://schemas.microsoft.com/office/drawing/2014/main" id="{00000000-0008-0000-0600-000001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28575</xdr:rowOff>
        </xdr:from>
        <xdr:to>
          <xdr:col>1</xdr:col>
          <xdr:colOff>390525</xdr:colOff>
          <xdr:row>3</xdr:row>
          <xdr:rowOff>28575</xdr:rowOff>
        </xdr:to>
        <xdr:sp macro="" textlink="">
          <xdr:nvSpPr>
            <xdr:cNvPr id="54274" name="Object 2" hidden="1">
              <a:extLst>
                <a:ext uri="{63B3BB69-23CF-44E3-9099-C40C66FF867C}">
                  <a14:compatExt spid="_x0000_s54274"/>
                </a:ext>
                <a:ext uri="{FF2B5EF4-FFF2-40B4-BE49-F238E27FC236}">
                  <a16:creationId xmlns:a16="http://schemas.microsoft.com/office/drawing/2014/main" id="{00000000-0008-0000-0700-00000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28575</xdr:rowOff>
        </xdr:from>
        <xdr:to>
          <xdr:col>1</xdr:col>
          <xdr:colOff>304800</xdr:colOff>
          <xdr:row>2</xdr:row>
          <xdr:rowOff>152400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08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537002</xdr:colOff>
      <xdr:row>7</xdr:row>
      <xdr:rowOff>152399</xdr:rowOff>
    </xdr:from>
    <xdr:to>
      <xdr:col>8</xdr:col>
      <xdr:colOff>333376</xdr:colOff>
      <xdr:row>24</xdr:row>
      <xdr:rowOff>76132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8602" y="1514474"/>
          <a:ext cx="4158824" cy="270503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26</xdr:row>
      <xdr:rowOff>145242</xdr:rowOff>
    </xdr:from>
    <xdr:to>
      <xdr:col>11</xdr:col>
      <xdr:colOff>171575</xdr:colOff>
      <xdr:row>44</xdr:row>
      <xdr:rowOff>58627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" y="4612467"/>
          <a:ext cx="7572500" cy="28566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:S92"/>
  <sheetViews>
    <sheetView topLeftCell="A13" zoomScaleNormal="100" zoomScaleSheetLayoutView="40" workbookViewId="0">
      <selection activeCell="C111" sqref="C111"/>
    </sheetView>
  </sheetViews>
  <sheetFormatPr defaultRowHeight="12.75" x14ac:dyDescent="0.2"/>
  <cols>
    <col min="1" max="5" width="9.140625" style="32"/>
    <col min="6" max="6" width="8.7109375" style="32" customWidth="1"/>
    <col min="7" max="9" width="9.140625" style="32"/>
    <col min="10" max="10" width="13.85546875" style="32" customWidth="1"/>
    <col min="11" max="11" width="13.42578125" style="32" customWidth="1"/>
    <col min="12" max="261" width="9.140625" style="32"/>
    <col min="262" max="262" width="8.7109375" style="32" customWidth="1"/>
    <col min="263" max="265" width="9.140625" style="32"/>
    <col min="266" max="266" width="13.85546875" style="32" customWidth="1"/>
    <col min="267" max="267" width="13.42578125" style="32" customWidth="1"/>
    <col min="268" max="517" width="9.140625" style="32"/>
    <col min="518" max="518" width="8.7109375" style="32" customWidth="1"/>
    <col min="519" max="521" width="9.140625" style="32"/>
    <col min="522" max="522" width="13.85546875" style="32" customWidth="1"/>
    <col min="523" max="523" width="13.42578125" style="32" customWidth="1"/>
    <col min="524" max="773" width="9.140625" style="32"/>
    <col min="774" max="774" width="8.7109375" style="32" customWidth="1"/>
    <col min="775" max="777" width="9.140625" style="32"/>
    <col min="778" max="778" width="13.85546875" style="32" customWidth="1"/>
    <col min="779" max="779" width="13.42578125" style="32" customWidth="1"/>
    <col min="780" max="1029" width="9.140625" style="32"/>
    <col min="1030" max="1030" width="8.7109375" style="32" customWidth="1"/>
    <col min="1031" max="1033" width="9.140625" style="32"/>
    <col min="1034" max="1034" width="13.85546875" style="32" customWidth="1"/>
    <col min="1035" max="1035" width="13.42578125" style="32" customWidth="1"/>
    <col min="1036" max="1285" width="9.140625" style="32"/>
    <col min="1286" max="1286" width="8.7109375" style="32" customWidth="1"/>
    <col min="1287" max="1289" width="9.140625" style="32"/>
    <col min="1290" max="1290" width="13.85546875" style="32" customWidth="1"/>
    <col min="1291" max="1291" width="13.42578125" style="32" customWidth="1"/>
    <col min="1292" max="1541" width="9.140625" style="32"/>
    <col min="1542" max="1542" width="8.7109375" style="32" customWidth="1"/>
    <col min="1543" max="1545" width="9.140625" style="32"/>
    <col min="1546" max="1546" width="13.85546875" style="32" customWidth="1"/>
    <col min="1547" max="1547" width="13.42578125" style="32" customWidth="1"/>
    <col min="1548" max="1797" width="9.140625" style="32"/>
    <col min="1798" max="1798" width="8.7109375" style="32" customWidth="1"/>
    <col min="1799" max="1801" width="9.140625" style="32"/>
    <col min="1802" max="1802" width="13.85546875" style="32" customWidth="1"/>
    <col min="1803" max="1803" width="13.42578125" style="32" customWidth="1"/>
    <col min="1804" max="2053" width="9.140625" style="32"/>
    <col min="2054" max="2054" width="8.7109375" style="32" customWidth="1"/>
    <col min="2055" max="2057" width="9.140625" style="32"/>
    <col min="2058" max="2058" width="13.85546875" style="32" customWidth="1"/>
    <col min="2059" max="2059" width="13.42578125" style="32" customWidth="1"/>
    <col min="2060" max="2309" width="9.140625" style="32"/>
    <col min="2310" max="2310" width="8.7109375" style="32" customWidth="1"/>
    <col min="2311" max="2313" width="9.140625" style="32"/>
    <col min="2314" max="2314" width="13.85546875" style="32" customWidth="1"/>
    <col min="2315" max="2315" width="13.42578125" style="32" customWidth="1"/>
    <col min="2316" max="2565" width="9.140625" style="32"/>
    <col min="2566" max="2566" width="8.7109375" style="32" customWidth="1"/>
    <col min="2567" max="2569" width="9.140625" style="32"/>
    <col min="2570" max="2570" width="13.85546875" style="32" customWidth="1"/>
    <col min="2571" max="2571" width="13.42578125" style="32" customWidth="1"/>
    <col min="2572" max="2821" width="9.140625" style="32"/>
    <col min="2822" max="2822" width="8.7109375" style="32" customWidth="1"/>
    <col min="2823" max="2825" width="9.140625" style="32"/>
    <col min="2826" max="2826" width="13.85546875" style="32" customWidth="1"/>
    <col min="2827" max="2827" width="13.42578125" style="32" customWidth="1"/>
    <col min="2828" max="3077" width="9.140625" style="32"/>
    <col min="3078" max="3078" width="8.7109375" style="32" customWidth="1"/>
    <col min="3079" max="3081" width="9.140625" style="32"/>
    <col min="3082" max="3082" width="13.85546875" style="32" customWidth="1"/>
    <col min="3083" max="3083" width="13.42578125" style="32" customWidth="1"/>
    <col min="3084" max="3333" width="9.140625" style="32"/>
    <col min="3334" max="3334" width="8.7109375" style="32" customWidth="1"/>
    <col min="3335" max="3337" width="9.140625" style="32"/>
    <col min="3338" max="3338" width="13.85546875" style="32" customWidth="1"/>
    <col min="3339" max="3339" width="13.42578125" style="32" customWidth="1"/>
    <col min="3340" max="3589" width="9.140625" style="32"/>
    <col min="3590" max="3590" width="8.7109375" style="32" customWidth="1"/>
    <col min="3591" max="3593" width="9.140625" style="32"/>
    <col min="3594" max="3594" width="13.85546875" style="32" customWidth="1"/>
    <col min="3595" max="3595" width="13.42578125" style="32" customWidth="1"/>
    <col min="3596" max="3845" width="9.140625" style="32"/>
    <col min="3846" max="3846" width="8.7109375" style="32" customWidth="1"/>
    <col min="3847" max="3849" width="9.140625" style="32"/>
    <col min="3850" max="3850" width="13.85546875" style="32" customWidth="1"/>
    <col min="3851" max="3851" width="13.42578125" style="32" customWidth="1"/>
    <col min="3852" max="4101" width="9.140625" style="32"/>
    <col min="4102" max="4102" width="8.7109375" style="32" customWidth="1"/>
    <col min="4103" max="4105" width="9.140625" style="32"/>
    <col min="4106" max="4106" width="13.85546875" style="32" customWidth="1"/>
    <col min="4107" max="4107" width="13.42578125" style="32" customWidth="1"/>
    <col min="4108" max="4357" width="9.140625" style="32"/>
    <col min="4358" max="4358" width="8.7109375" style="32" customWidth="1"/>
    <col min="4359" max="4361" width="9.140625" style="32"/>
    <col min="4362" max="4362" width="13.85546875" style="32" customWidth="1"/>
    <col min="4363" max="4363" width="13.42578125" style="32" customWidth="1"/>
    <col min="4364" max="4613" width="9.140625" style="32"/>
    <col min="4614" max="4614" width="8.7109375" style="32" customWidth="1"/>
    <col min="4615" max="4617" width="9.140625" style="32"/>
    <col min="4618" max="4618" width="13.85546875" style="32" customWidth="1"/>
    <col min="4619" max="4619" width="13.42578125" style="32" customWidth="1"/>
    <col min="4620" max="4869" width="9.140625" style="32"/>
    <col min="4870" max="4870" width="8.7109375" style="32" customWidth="1"/>
    <col min="4871" max="4873" width="9.140625" style="32"/>
    <col min="4874" max="4874" width="13.85546875" style="32" customWidth="1"/>
    <col min="4875" max="4875" width="13.42578125" style="32" customWidth="1"/>
    <col min="4876" max="5125" width="9.140625" style="32"/>
    <col min="5126" max="5126" width="8.7109375" style="32" customWidth="1"/>
    <col min="5127" max="5129" width="9.140625" style="32"/>
    <col min="5130" max="5130" width="13.85546875" style="32" customWidth="1"/>
    <col min="5131" max="5131" width="13.42578125" style="32" customWidth="1"/>
    <col min="5132" max="5381" width="9.140625" style="32"/>
    <col min="5382" max="5382" width="8.7109375" style="32" customWidth="1"/>
    <col min="5383" max="5385" width="9.140625" style="32"/>
    <col min="5386" max="5386" width="13.85546875" style="32" customWidth="1"/>
    <col min="5387" max="5387" width="13.42578125" style="32" customWidth="1"/>
    <col min="5388" max="5637" width="9.140625" style="32"/>
    <col min="5638" max="5638" width="8.7109375" style="32" customWidth="1"/>
    <col min="5639" max="5641" width="9.140625" style="32"/>
    <col min="5642" max="5642" width="13.85546875" style="32" customWidth="1"/>
    <col min="5643" max="5643" width="13.42578125" style="32" customWidth="1"/>
    <col min="5644" max="5893" width="9.140625" style="32"/>
    <col min="5894" max="5894" width="8.7109375" style="32" customWidth="1"/>
    <col min="5895" max="5897" width="9.140625" style="32"/>
    <col min="5898" max="5898" width="13.85546875" style="32" customWidth="1"/>
    <col min="5899" max="5899" width="13.42578125" style="32" customWidth="1"/>
    <col min="5900" max="6149" width="9.140625" style="32"/>
    <col min="6150" max="6150" width="8.7109375" style="32" customWidth="1"/>
    <col min="6151" max="6153" width="9.140625" style="32"/>
    <col min="6154" max="6154" width="13.85546875" style="32" customWidth="1"/>
    <col min="6155" max="6155" width="13.42578125" style="32" customWidth="1"/>
    <col min="6156" max="6405" width="9.140625" style="32"/>
    <col min="6406" max="6406" width="8.7109375" style="32" customWidth="1"/>
    <col min="6407" max="6409" width="9.140625" style="32"/>
    <col min="6410" max="6410" width="13.85546875" style="32" customWidth="1"/>
    <col min="6411" max="6411" width="13.42578125" style="32" customWidth="1"/>
    <col min="6412" max="6661" width="9.140625" style="32"/>
    <col min="6662" max="6662" width="8.7109375" style="32" customWidth="1"/>
    <col min="6663" max="6665" width="9.140625" style="32"/>
    <col min="6666" max="6666" width="13.85546875" style="32" customWidth="1"/>
    <col min="6667" max="6667" width="13.42578125" style="32" customWidth="1"/>
    <col min="6668" max="6917" width="9.140625" style="32"/>
    <col min="6918" max="6918" width="8.7109375" style="32" customWidth="1"/>
    <col min="6919" max="6921" width="9.140625" style="32"/>
    <col min="6922" max="6922" width="13.85546875" style="32" customWidth="1"/>
    <col min="6923" max="6923" width="13.42578125" style="32" customWidth="1"/>
    <col min="6924" max="7173" width="9.140625" style="32"/>
    <col min="7174" max="7174" width="8.7109375" style="32" customWidth="1"/>
    <col min="7175" max="7177" width="9.140625" style="32"/>
    <col min="7178" max="7178" width="13.85546875" style="32" customWidth="1"/>
    <col min="7179" max="7179" width="13.42578125" style="32" customWidth="1"/>
    <col min="7180" max="7429" width="9.140625" style="32"/>
    <col min="7430" max="7430" width="8.7109375" style="32" customWidth="1"/>
    <col min="7431" max="7433" width="9.140625" style="32"/>
    <col min="7434" max="7434" width="13.85546875" style="32" customWidth="1"/>
    <col min="7435" max="7435" width="13.42578125" style="32" customWidth="1"/>
    <col min="7436" max="7685" width="9.140625" style="32"/>
    <col min="7686" max="7686" width="8.7109375" style="32" customWidth="1"/>
    <col min="7687" max="7689" width="9.140625" style="32"/>
    <col min="7690" max="7690" width="13.85546875" style="32" customWidth="1"/>
    <col min="7691" max="7691" width="13.42578125" style="32" customWidth="1"/>
    <col min="7692" max="7941" width="9.140625" style="32"/>
    <col min="7942" max="7942" width="8.7109375" style="32" customWidth="1"/>
    <col min="7943" max="7945" width="9.140625" style="32"/>
    <col min="7946" max="7946" width="13.85546875" style="32" customWidth="1"/>
    <col min="7947" max="7947" width="13.42578125" style="32" customWidth="1"/>
    <col min="7948" max="8197" width="9.140625" style="32"/>
    <col min="8198" max="8198" width="8.7109375" style="32" customWidth="1"/>
    <col min="8199" max="8201" width="9.140625" style="32"/>
    <col min="8202" max="8202" width="13.85546875" style="32" customWidth="1"/>
    <col min="8203" max="8203" width="13.42578125" style="32" customWidth="1"/>
    <col min="8204" max="8453" width="9.140625" style="32"/>
    <col min="8454" max="8454" width="8.7109375" style="32" customWidth="1"/>
    <col min="8455" max="8457" width="9.140625" style="32"/>
    <col min="8458" max="8458" width="13.85546875" style="32" customWidth="1"/>
    <col min="8459" max="8459" width="13.42578125" style="32" customWidth="1"/>
    <col min="8460" max="8709" width="9.140625" style="32"/>
    <col min="8710" max="8710" width="8.7109375" style="32" customWidth="1"/>
    <col min="8711" max="8713" width="9.140625" style="32"/>
    <col min="8714" max="8714" width="13.85546875" style="32" customWidth="1"/>
    <col min="8715" max="8715" width="13.42578125" style="32" customWidth="1"/>
    <col min="8716" max="8965" width="9.140625" style="32"/>
    <col min="8966" max="8966" width="8.7109375" style="32" customWidth="1"/>
    <col min="8967" max="8969" width="9.140625" style="32"/>
    <col min="8970" max="8970" width="13.85546875" style="32" customWidth="1"/>
    <col min="8971" max="8971" width="13.42578125" style="32" customWidth="1"/>
    <col min="8972" max="9221" width="9.140625" style="32"/>
    <col min="9222" max="9222" width="8.7109375" style="32" customWidth="1"/>
    <col min="9223" max="9225" width="9.140625" style="32"/>
    <col min="9226" max="9226" width="13.85546875" style="32" customWidth="1"/>
    <col min="9227" max="9227" width="13.42578125" style="32" customWidth="1"/>
    <col min="9228" max="9477" width="9.140625" style="32"/>
    <col min="9478" max="9478" width="8.7109375" style="32" customWidth="1"/>
    <col min="9479" max="9481" width="9.140625" style="32"/>
    <col min="9482" max="9482" width="13.85546875" style="32" customWidth="1"/>
    <col min="9483" max="9483" width="13.42578125" style="32" customWidth="1"/>
    <col min="9484" max="9733" width="9.140625" style="32"/>
    <col min="9734" max="9734" width="8.7109375" style="32" customWidth="1"/>
    <col min="9735" max="9737" width="9.140625" style="32"/>
    <col min="9738" max="9738" width="13.85546875" style="32" customWidth="1"/>
    <col min="9739" max="9739" width="13.42578125" style="32" customWidth="1"/>
    <col min="9740" max="9989" width="9.140625" style="32"/>
    <col min="9990" max="9990" width="8.7109375" style="32" customWidth="1"/>
    <col min="9991" max="9993" width="9.140625" style="32"/>
    <col min="9994" max="9994" width="13.85546875" style="32" customWidth="1"/>
    <col min="9995" max="9995" width="13.42578125" style="32" customWidth="1"/>
    <col min="9996" max="10245" width="9.140625" style="32"/>
    <col min="10246" max="10246" width="8.7109375" style="32" customWidth="1"/>
    <col min="10247" max="10249" width="9.140625" style="32"/>
    <col min="10250" max="10250" width="13.85546875" style="32" customWidth="1"/>
    <col min="10251" max="10251" width="13.42578125" style="32" customWidth="1"/>
    <col min="10252" max="10501" width="9.140625" style="32"/>
    <col min="10502" max="10502" width="8.7109375" style="32" customWidth="1"/>
    <col min="10503" max="10505" width="9.140625" style="32"/>
    <col min="10506" max="10506" width="13.85546875" style="32" customWidth="1"/>
    <col min="10507" max="10507" width="13.42578125" style="32" customWidth="1"/>
    <col min="10508" max="10757" width="9.140625" style="32"/>
    <col min="10758" max="10758" width="8.7109375" style="32" customWidth="1"/>
    <col min="10759" max="10761" width="9.140625" style="32"/>
    <col min="10762" max="10762" width="13.85546875" style="32" customWidth="1"/>
    <col min="10763" max="10763" width="13.42578125" style="32" customWidth="1"/>
    <col min="10764" max="11013" width="9.140625" style="32"/>
    <col min="11014" max="11014" width="8.7109375" style="32" customWidth="1"/>
    <col min="11015" max="11017" width="9.140625" style="32"/>
    <col min="11018" max="11018" width="13.85546875" style="32" customWidth="1"/>
    <col min="11019" max="11019" width="13.42578125" style="32" customWidth="1"/>
    <col min="11020" max="11269" width="9.140625" style="32"/>
    <col min="11270" max="11270" width="8.7109375" style="32" customWidth="1"/>
    <col min="11271" max="11273" width="9.140625" style="32"/>
    <col min="11274" max="11274" width="13.85546875" style="32" customWidth="1"/>
    <col min="11275" max="11275" width="13.42578125" style="32" customWidth="1"/>
    <col min="11276" max="11525" width="9.140625" style="32"/>
    <col min="11526" max="11526" width="8.7109375" style="32" customWidth="1"/>
    <col min="11527" max="11529" width="9.140625" style="32"/>
    <col min="11530" max="11530" width="13.85546875" style="32" customWidth="1"/>
    <col min="11531" max="11531" width="13.42578125" style="32" customWidth="1"/>
    <col min="11532" max="11781" width="9.140625" style="32"/>
    <col min="11782" max="11782" width="8.7109375" style="32" customWidth="1"/>
    <col min="11783" max="11785" width="9.140625" style="32"/>
    <col min="11786" max="11786" width="13.85546875" style="32" customWidth="1"/>
    <col min="11787" max="11787" width="13.42578125" style="32" customWidth="1"/>
    <col min="11788" max="12037" width="9.140625" style="32"/>
    <col min="12038" max="12038" width="8.7109375" style="32" customWidth="1"/>
    <col min="12039" max="12041" width="9.140625" style="32"/>
    <col min="12042" max="12042" width="13.85546875" style="32" customWidth="1"/>
    <col min="12043" max="12043" width="13.42578125" style="32" customWidth="1"/>
    <col min="12044" max="12293" width="9.140625" style="32"/>
    <col min="12294" max="12294" width="8.7109375" style="32" customWidth="1"/>
    <col min="12295" max="12297" width="9.140625" style="32"/>
    <col min="12298" max="12298" width="13.85546875" style="32" customWidth="1"/>
    <col min="12299" max="12299" width="13.42578125" style="32" customWidth="1"/>
    <col min="12300" max="12549" width="9.140625" style="32"/>
    <col min="12550" max="12550" width="8.7109375" style="32" customWidth="1"/>
    <col min="12551" max="12553" width="9.140625" style="32"/>
    <col min="12554" max="12554" width="13.85546875" style="32" customWidth="1"/>
    <col min="12555" max="12555" width="13.42578125" style="32" customWidth="1"/>
    <col min="12556" max="12805" width="9.140625" style="32"/>
    <col min="12806" max="12806" width="8.7109375" style="32" customWidth="1"/>
    <col min="12807" max="12809" width="9.140625" style="32"/>
    <col min="12810" max="12810" width="13.85546875" style="32" customWidth="1"/>
    <col min="12811" max="12811" width="13.42578125" style="32" customWidth="1"/>
    <col min="12812" max="13061" width="9.140625" style="32"/>
    <col min="13062" max="13062" width="8.7109375" style="32" customWidth="1"/>
    <col min="13063" max="13065" width="9.140625" style="32"/>
    <col min="13066" max="13066" width="13.85546875" style="32" customWidth="1"/>
    <col min="13067" max="13067" width="13.42578125" style="32" customWidth="1"/>
    <col min="13068" max="13317" width="9.140625" style="32"/>
    <col min="13318" max="13318" width="8.7109375" style="32" customWidth="1"/>
    <col min="13319" max="13321" width="9.140625" style="32"/>
    <col min="13322" max="13322" width="13.85546875" style="32" customWidth="1"/>
    <col min="13323" max="13323" width="13.42578125" style="32" customWidth="1"/>
    <col min="13324" max="13573" width="9.140625" style="32"/>
    <col min="13574" max="13574" width="8.7109375" style="32" customWidth="1"/>
    <col min="13575" max="13577" width="9.140625" style="32"/>
    <col min="13578" max="13578" width="13.85546875" style="32" customWidth="1"/>
    <col min="13579" max="13579" width="13.42578125" style="32" customWidth="1"/>
    <col min="13580" max="13829" width="9.140625" style="32"/>
    <col min="13830" max="13830" width="8.7109375" style="32" customWidth="1"/>
    <col min="13831" max="13833" width="9.140625" style="32"/>
    <col min="13834" max="13834" width="13.85546875" style="32" customWidth="1"/>
    <col min="13835" max="13835" width="13.42578125" style="32" customWidth="1"/>
    <col min="13836" max="14085" width="9.140625" style="32"/>
    <col min="14086" max="14086" width="8.7109375" style="32" customWidth="1"/>
    <col min="14087" max="14089" width="9.140625" style="32"/>
    <col min="14090" max="14090" width="13.85546875" style="32" customWidth="1"/>
    <col min="14091" max="14091" width="13.42578125" style="32" customWidth="1"/>
    <col min="14092" max="14341" width="9.140625" style="32"/>
    <col min="14342" max="14342" width="8.7109375" style="32" customWidth="1"/>
    <col min="14343" max="14345" width="9.140625" style="32"/>
    <col min="14346" max="14346" width="13.85546875" style="32" customWidth="1"/>
    <col min="14347" max="14347" width="13.42578125" style="32" customWidth="1"/>
    <col min="14348" max="14597" width="9.140625" style="32"/>
    <col min="14598" max="14598" width="8.7109375" style="32" customWidth="1"/>
    <col min="14599" max="14601" width="9.140625" style="32"/>
    <col min="14602" max="14602" width="13.85546875" style="32" customWidth="1"/>
    <col min="14603" max="14603" width="13.42578125" style="32" customWidth="1"/>
    <col min="14604" max="14853" width="9.140625" style="32"/>
    <col min="14854" max="14854" width="8.7109375" style="32" customWidth="1"/>
    <col min="14855" max="14857" width="9.140625" style="32"/>
    <col min="14858" max="14858" width="13.85546875" style="32" customWidth="1"/>
    <col min="14859" max="14859" width="13.42578125" style="32" customWidth="1"/>
    <col min="14860" max="15109" width="9.140625" style="32"/>
    <col min="15110" max="15110" width="8.7109375" style="32" customWidth="1"/>
    <col min="15111" max="15113" width="9.140625" style="32"/>
    <col min="15114" max="15114" width="13.85546875" style="32" customWidth="1"/>
    <col min="15115" max="15115" width="13.42578125" style="32" customWidth="1"/>
    <col min="15116" max="15365" width="9.140625" style="32"/>
    <col min="15366" max="15366" width="8.7109375" style="32" customWidth="1"/>
    <col min="15367" max="15369" width="9.140625" style="32"/>
    <col min="15370" max="15370" width="13.85546875" style="32" customWidth="1"/>
    <col min="15371" max="15371" width="13.42578125" style="32" customWidth="1"/>
    <col min="15372" max="15621" width="9.140625" style="32"/>
    <col min="15622" max="15622" width="8.7109375" style="32" customWidth="1"/>
    <col min="15623" max="15625" width="9.140625" style="32"/>
    <col min="15626" max="15626" width="13.85546875" style="32" customWidth="1"/>
    <col min="15627" max="15627" width="13.42578125" style="32" customWidth="1"/>
    <col min="15628" max="15877" width="9.140625" style="32"/>
    <col min="15878" max="15878" width="8.7109375" style="32" customWidth="1"/>
    <col min="15879" max="15881" width="9.140625" style="32"/>
    <col min="15882" max="15882" width="13.85546875" style="32" customWidth="1"/>
    <col min="15883" max="15883" width="13.42578125" style="32" customWidth="1"/>
    <col min="15884" max="16133" width="9.140625" style="32"/>
    <col min="16134" max="16134" width="8.7109375" style="32" customWidth="1"/>
    <col min="16135" max="16137" width="9.140625" style="32"/>
    <col min="16138" max="16138" width="13.85546875" style="32" customWidth="1"/>
    <col min="16139" max="16139" width="13.42578125" style="32" customWidth="1"/>
    <col min="16140" max="16384" width="9.140625" style="32"/>
  </cols>
  <sheetData>
    <row r="1" spans="3:19" x14ac:dyDescent="0.2"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3:19" x14ac:dyDescent="0.2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</row>
    <row r="3" spans="3:19" x14ac:dyDescent="0.2"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</row>
    <row r="4" spans="3:19" ht="16.5" x14ac:dyDescent="0.3">
      <c r="C4" s="31"/>
      <c r="D4" s="31"/>
      <c r="E4" s="31"/>
      <c r="F4" s="31"/>
      <c r="G4" s="31"/>
      <c r="H4" s="31"/>
      <c r="I4" s="33"/>
      <c r="J4" s="33"/>
      <c r="K4" s="31"/>
      <c r="L4" s="31"/>
      <c r="M4" s="31"/>
      <c r="N4" s="31"/>
      <c r="O4" s="31"/>
      <c r="P4" s="31"/>
      <c r="Q4" s="31"/>
      <c r="R4" s="31"/>
      <c r="S4" s="31"/>
    </row>
    <row r="5" spans="3:19" s="34" customFormat="1" ht="9" customHeight="1" x14ac:dyDescent="0.2"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</row>
    <row r="6" spans="3:19" ht="18.75" x14ac:dyDescent="0.3"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5" t="s">
        <v>89</v>
      </c>
      <c r="S6" s="31"/>
    </row>
    <row r="7" spans="3:19" x14ac:dyDescent="0.2"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</row>
    <row r="8" spans="3:19" x14ac:dyDescent="0.2"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</row>
    <row r="9" spans="3:19" x14ac:dyDescent="0.2"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</row>
    <row r="10" spans="3:19" ht="20.25" x14ac:dyDescent="0.3">
      <c r="C10" s="31"/>
      <c r="D10" s="36">
        <v>11</v>
      </c>
      <c r="E10" s="37" t="s">
        <v>90</v>
      </c>
      <c r="F10" s="31"/>
      <c r="G10" s="37"/>
      <c r="H10" s="37"/>
      <c r="I10" s="37"/>
      <c r="J10" s="37"/>
      <c r="K10" s="37"/>
      <c r="L10" s="31"/>
      <c r="M10" s="31"/>
      <c r="N10" s="31"/>
      <c r="O10" s="31"/>
      <c r="P10" s="31"/>
      <c r="Q10" s="31"/>
      <c r="R10" s="31"/>
      <c r="S10" s="31"/>
    </row>
    <row r="11" spans="3:19" x14ac:dyDescent="0.2"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</row>
    <row r="12" spans="3:19" x14ac:dyDescent="0.2"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3:19" x14ac:dyDescent="0.2"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3:19" x14ac:dyDescent="0.2"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3:19" x14ac:dyDescent="0.2"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3:19" x14ac:dyDescent="0.2"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3:19" x14ac:dyDescent="0.2"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3:19" x14ac:dyDescent="0.2"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3:19" x14ac:dyDescent="0.2"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</row>
    <row r="20" spans="3:19" x14ac:dyDescent="0.2"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</row>
    <row r="21" spans="3:19" x14ac:dyDescent="0.2"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</row>
    <row r="22" spans="3:19" x14ac:dyDescent="0.2"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</row>
    <row r="23" spans="3:19" x14ac:dyDescent="0.2"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</row>
    <row r="24" spans="3:19" x14ac:dyDescent="0.2"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</row>
    <row r="25" spans="3:19" x14ac:dyDescent="0.2"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</row>
    <row r="26" spans="3:19" x14ac:dyDescent="0.2"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</row>
    <row r="27" spans="3:19" x14ac:dyDescent="0.2"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</row>
    <row r="28" spans="3:19" x14ac:dyDescent="0.2"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</row>
    <row r="29" spans="3:19" x14ac:dyDescent="0.2"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</row>
    <row r="30" spans="3:19" x14ac:dyDescent="0.2"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</row>
    <row r="31" spans="3:19" x14ac:dyDescent="0.2"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</row>
    <row r="32" spans="3:19" x14ac:dyDescent="0.2"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</row>
    <row r="33" spans="3:19" x14ac:dyDescent="0.2"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</row>
    <row r="34" spans="3:19" x14ac:dyDescent="0.2"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</row>
    <row r="35" spans="3:19" x14ac:dyDescent="0.2"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</row>
    <row r="36" spans="3:19" x14ac:dyDescent="0.2"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</row>
    <row r="37" spans="3:19" x14ac:dyDescent="0.2"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</row>
    <row r="38" spans="3:19" x14ac:dyDescent="0.2"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</row>
    <row r="39" spans="3:19" x14ac:dyDescent="0.2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</row>
    <row r="40" spans="3:19" x14ac:dyDescent="0.2"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</row>
    <row r="41" spans="3:19" x14ac:dyDescent="0.2"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</row>
    <row r="42" spans="3:19" x14ac:dyDescent="0.2"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</row>
    <row r="43" spans="3:19" x14ac:dyDescent="0.2"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</row>
    <row r="44" spans="3:19" x14ac:dyDescent="0.2"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</row>
    <row r="45" spans="3:19" x14ac:dyDescent="0.2"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</row>
    <row r="46" spans="3:19" x14ac:dyDescent="0.2"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</row>
    <row r="47" spans="3:19" x14ac:dyDescent="0.2"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</row>
    <row r="48" spans="3:19" x14ac:dyDescent="0.2"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</row>
    <row r="49" spans="3:19" x14ac:dyDescent="0.2"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</row>
    <row r="50" spans="3:19" x14ac:dyDescent="0.2"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</row>
    <row r="51" spans="3:19" x14ac:dyDescent="0.2"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</row>
    <row r="52" spans="3:19" x14ac:dyDescent="0.2"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</row>
    <row r="53" spans="3:19" x14ac:dyDescent="0.2"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</row>
    <row r="54" spans="3:19" x14ac:dyDescent="0.2"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</row>
    <row r="55" spans="3:19" x14ac:dyDescent="0.2"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</row>
    <row r="56" spans="3:19" s="34" customFormat="1" ht="10.5" customHeight="1" x14ac:dyDescent="0.2"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</row>
    <row r="57" spans="3:19" s="34" customFormat="1" ht="15" customHeight="1" x14ac:dyDescent="0.2">
      <c r="C57" s="384">
        <v>75</v>
      </c>
      <c r="D57" s="384"/>
      <c r="E57" s="384"/>
      <c r="F57" s="384"/>
      <c r="G57" s="384"/>
      <c r="H57" s="384"/>
      <c r="I57" s="384"/>
      <c r="J57" s="384"/>
      <c r="K57" s="384"/>
      <c r="L57" s="31"/>
      <c r="M57" s="31"/>
      <c r="N57" s="31"/>
      <c r="O57" s="31"/>
      <c r="P57" s="31"/>
      <c r="Q57" s="31"/>
      <c r="R57" s="31"/>
      <c r="S57" s="31"/>
    </row>
    <row r="58" spans="3:19" x14ac:dyDescent="0.2"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</row>
    <row r="59" spans="3:19" x14ac:dyDescent="0.2"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</row>
    <row r="60" spans="3:19" x14ac:dyDescent="0.2"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</row>
    <row r="61" spans="3:19" x14ac:dyDescent="0.2"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</row>
    <row r="62" spans="3:19" x14ac:dyDescent="0.2"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</row>
    <row r="63" spans="3:19" x14ac:dyDescent="0.2"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</row>
    <row r="64" spans="3:19" x14ac:dyDescent="0.2"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</row>
    <row r="65" spans="3:19" x14ac:dyDescent="0.2"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</row>
    <row r="66" spans="3:19" x14ac:dyDescent="0.2"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</row>
    <row r="67" spans="3:19" x14ac:dyDescent="0.2"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</row>
    <row r="68" spans="3:19" x14ac:dyDescent="0.2"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</row>
    <row r="69" spans="3:19" x14ac:dyDescent="0.2"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</row>
    <row r="70" spans="3:19" x14ac:dyDescent="0.2"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</row>
    <row r="71" spans="3:19" x14ac:dyDescent="0.2"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</row>
    <row r="72" spans="3:19" x14ac:dyDescent="0.2"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</row>
    <row r="73" spans="3:19" x14ac:dyDescent="0.2"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</row>
    <row r="74" spans="3:19" x14ac:dyDescent="0.2"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</row>
    <row r="75" spans="3:19" x14ac:dyDescent="0.2"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</row>
    <row r="76" spans="3:19" x14ac:dyDescent="0.2"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</row>
    <row r="77" spans="3:19" x14ac:dyDescent="0.2"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</row>
    <row r="78" spans="3:19" x14ac:dyDescent="0.2"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</row>
    <row r="79" spans="3:19" x14ac:dyDescent="0.2"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</row>
    <row r="80" spans="3:19" x14ac:dyDescent="0.2"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</row>
    <row r="81" spans="3:19" x14ac:dyDescent="0.2"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</row>
    <row r="82" spans="3:19" x14ac:dyDescent="0.2"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</row>
    <row r="83" spans="3:19" x14ac:dyDescent="0.2"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</row>
    <row r="84" spans="3:19" x14ac:dyDescent="0.2"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</row>
    <row r="85" spans="3:19" x14ac:dyDescent="0.2"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</row>
    <row r="86" spans="3:19" x14ac:dyDescent="0.2"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</row>
    <row r="87" spans="3:19" x14ac:dyDescent="0.2"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</row>
    <row r="88" spans="3:19" x14ac:dyDescent="0.2">
      <c r="C88" s="31"/>
      <c r="D88" s="31"/>
      <c r="E88" s="31"/>
      <c r="F88" s="31"/>
      <c r="G88" s="384">
        <v>75</v>
      </c>
      <c r="H88" s="384"/>
      <c r="I88" s="384"/>
      <c r="J88" s="384"/>
      <c r="K88" s="384"/>
      <c r="L88" s="384"/>
      <c r="M88" s="384"/>
      <c r="N88" s="384"/>
      <c r="O88" s="384"/>
      <c r="P88" s="31"/>
      <c r="Q88" s="31"/>
      <c r="R88" s="31"/>
      <c r="S88" s="31"/>
    </row>
    <row r="89" spans="3:19" x14ac:dyDescent="0.2"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</row>
    <row r="90" spans="3:19" x14ac:dyDescent="0.2"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</row>
    <row r="91" spans="3:19" x14ac:dyDescent="0.2"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</row>
    <row r="92" spans="3:19" x14ac:dyDescent="0.2"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</row>
  </sheetData>
  <mergeCells count="2">
    <mergeCell ref="C57:K57"/>
    <mergeCell ref="G88:O88"/>
  </mergeCells>
  <printOptions horizontalCentered="1"/>
  <pageMargins left="0.5" right="0.5" top="1" bottom="0.99" header="0.5" footer="0.24"/>
  <pageSetup scale="5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9457" r:id="rId4">
          <objectPr defaultSize="0" autoPict="0" r:id="rId5">
            <anchor moveWithCells="1" sizeWithCells="1">
              <from>
                <xdr:col>3</xdr:col>
                <xdr:colOff>371475</xdr:colOff>
                <xdr:row>3</xdr:row>
                <xdr:rowOff>152400</xdr:rowOff>
              </from>
              <to>
                <xdr:col>6</xdr:col>
                <xdr:colOff>228600</xdr:colOff>
                <xdr:row>7</xdr:row>
                <xdr:rowOff>95250</xdr:rowOff>
              </to>
            </anchor>
          </objectPr>
        </oleObject>
      </mc:Choice>
      <mc:Fallback>
        <oleObject progId="MSPhotoEd.3" shapeId="19457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54"/>
  <sheetViews>
    <sheetView zoomScaleNormal="100" zoomScaleSheetLayoutView="100" workbookViewId="0">
      <selection activeCell="H4" sqref="H4"/>
    </sheetView>
  </sheetViews>
  <sheetFormatPr defaultRowHeight="12.75" x14ac:dyDescent="0.2"/>
  <cols>
    <col min="1" max="1" width="9.140625" style="46"/>
    <col min="2" max="2" width="10.28515625" style="46" customWidth="1"/>
    <col min="3" max="3" width="10.42578125" style="46" bestFit="1" customWidth="1"/>
    <col min="4" max="4" width="13.42578125" style="46" customWidth="1"/>
    <col min="5" max="5" width="13" style="46" customWidth="1"/>
    <col min="6" max="6" width="10" style="46" customWidth="1"/>
    <col min="7" max="7" width="11.85546875" style="46" customWidth="1"/>
    <col min="8" max="8" width="9.85546875" style="46" bestFit="1" customWidth="1"/>
    <col min="9" max="16384" width="9.140625" style="46"/>
  </cols>
  <sheetData>
    <row r="2" spans="2:10" x14ac:dyDescent="0.2">
      <c r="F2" s="65" t="s">
        <v>323</v>
      </c>
    </row>
    <row r="3" spans="2:10" x14ac:dyDescent="0.2">
      <c r="G3" s="44"/>
      <c r="H3" s="57"/>
      <c r="J3" s="57"/>
    </row>
    <row r="4" spans="2:10" ht="9" customHeight="1" x14ac:dyDescent="0.2"/>
    <row r="5" spans="2:10" x14ac:dyDescent="0.2">
      <c r="C5" s="58">
        <v>1.07</v>
      </c>
      <c r="D5" s="400" t="s">
        <v>137</v>
      </c>
      <c r="E5" s="400"/>
      <c r="F5" s="400"/>
    </row>
    <row r="6" spans="2:10" x14ac:dyDescent="0.2">
      <c r="D6" s="401"/>
      <c r="E6" s="401"/>
      <c r="F6" s="401"/>
    </row>
    <row r="7" spans="2:10" x14ac:dyDescent="0.2">
      <c r="B7" s="58"/>
      <c r="C7" s="117"/>
      <c r="D7" s="117"/>
      <c r="E7" s="117"/>
      <c r="F7" s="117"/>
    </row>
    <row r="8" spans="2:10" x14ac:dyDescent="0.2">
      <c r="B8" s="58"/>
    </row>
    <row r="9" spans="2:10" x14ac:dyDescent="0.2">
      <c r="G9" s="74"/>
      <c r="H9" s="74"/>
    </row>
    <row r="10" spans="2:10" ht="25.5" x14ac:dyDescent="0.2">
      <c r="C10" s="189" t="s">
        <v>22</v>
      </c>
      <c r="D10" s="189" t="s">
        <v>23</v>
      </c>
      <c r="E10" s="189" t="s">
        <v>101</v>
      </c>
      <c r="F10" s="189" t="s">
        <v>100</v>
      </c>
      <c r="H10" s="50"/>
    </row>
    <row r="11" spans="2:10" x14ac:dyDescent="0.2">
      <c r="D11" s="59"/>
      <c r="E11" s="59"/>
      <c r="F11" s="59"/>
      <c r="H11" s="74"/>
    </row>
    <row r="12" spans="2:10" x14ac:dyDescent="0.2">
      <c r="C12" s="71">
        <v>1802</v>
      </c>
      <c r="D12" s="190">
        <v>933</v>
      </c>
      <c r="F12" s="191"/>
      <c r="H12" s="140"/>
    </row>
    <row r="13" spans="2:10" x14ac:dyDescent="0.2">
      <c r="C13" s="71">
        <v>1891</v>
      </c>
      <c r="D13" s="190">
        <v>4322</v>
      </c>
      <c r="E13" s="191">
        <f t="shared" ref="E13:E24" si="0">+((D13/D12)-1)*100</f>
        <v>363.23687031082528</v>
      </c>
      <c r="F13" s="191">
        <v>1.7</v>
      </c>
      <c r="H13" s="50"/>
    </row>
    <row r="14" spans="2:10" x14ac:dyDescent="0.2">
      <c r="C14" s="71">
        <v>1911</v>
      </c>
      <c r="D14" s="190">
        <v>5564</v>
      </c>
      <c r="E14" s="191">
        <f t="shared" si="0"/>
        <v>28.736695974086079</v>
      </c>
      <c r="F14" s="191">
        <v>1.3</v>
      </c>
      <c r="H14" s="192"/>
    </row>
    <row r="15" spans="2:10" x14ac:dyDescent="0.2">
      <c r="C15" s="71">
        <v>1921</v>
      </c>
      <c r="D15" s="190">
        <v>5270</v>
      </c>
      <c r="E15" s="191">
        <f t="shared" si="0"/>
        <v>-5.2839683680805161</v>
      </c>
      <c r="F15" s="191">
        <v>-0.5</v>
      </c>
      <c r="H15" s="131"/>
    </row>
    <row r="16" spans="2:10" x14ac:dyDescent="0.2">
      <c r="C16" s="71">
        <v>1934</v>
      </c>
      <c r="D16" s="190">
        <v>5930</v>
      </c>
      <c r="E16" s="191">
        <f t="shared" si="0"/>
        <v>12.523719165085389</v>
      </c>
      <c r="F16" s="191">
        <v>0.91</v>
      </c>
      <c r="H16" s="52"/>
    </row>
    <row r="17" spans="2:8" x14ac:dyDescent="0.2">
      <c r="C17" s="71">
        <v>1943</v>
      </c>
      <c r="D17" s="190">
        <v>6690</v>
      </c>
      <c r="E17" s="191">
        <f t="shared" si="0"/>
        <v>12.816188870151768</v>
      </c>
      <c r="F17" s="191">
        <v>1.34</v>
      </c>
      <c r="H17" s="52"/>
    </row>
    <row r="18" spans="2:8" x14ac:dyDescent="0.2">
      <c r="C18" s="71">
        <v>1960</v>
      </c>
      <c r="D18" s="190">
        <v>8511</v>
      </c>
      <c r="E18" s="191">
        <f t="shared" si="0"/>
        <v>27.219730941704047</v>
      </c>
      <c r="F18" s="191">
        <v>1.43</v>
      </c>
      <c r="H18" s="52"/>
    </row>
    <row r="19" spans="2:8" x14ac:dyDescent="0.2">
      <c r="C19" s="193">
        <v>1970</v>
      </c>
      <c r="D19" s="194">
        <v>10068</v>
      </c>
      <c r="E19" s="191">
        <f t="shared" si="0"/>
        <v>18.293972506168487</v>
      </c>
      <c r="F19" s="191">
        <v>1.69</v>
      </c>
      <c r="H19" s="52"/>
    </row>
    <row r="20" spans="2:8" ht="15" customHeight="1" x14ac:dyDescent="0.2">
      <c r="C20" s="71">
        <v>1979</v>
      </c>
      <c r="D20" s="190">
        <v>16677</v>
      </c>
      <c r="E20" s="191">
        <f t="shared" si="0"/>
        <v>65.643623361144222</v>
      </c>
      <c r="F20" s="191">
        <v>5.77</v>
      </c>
      <c r="H20" s="52"/>
    </row>
    <row r="21" spans="2:8" x14ac:dyDescent="0.2">
      <c r="C21" s="71">
        <v>1989</v>
      </c>
      <c r="D21" s="190">
        <v>25355</v>
      </c>
      <c r="E21" s="191">
        <f t="shared" si="0"/>
        <v>52.035737842537635</v>
      </c>
      <c r="F21" s="191">
        <v>4.28</v>
      </c>
      <c r="H21" s="59"/>
    </row>
    <row r="22" spans="2:8" x14ac:dyDescent="0.2">
      <c r="C22" s="71">
        <v>1999</v>
      </c>
      <c r="D22" s="190">
        <v>39020</v>
      </c>
      <c r="E22" s="191">
        <f t="shared" si="0"/>
        <v>53.894695326365614</v>
      </c>
      <c r="F22" s="191">
        <v>4.41</v>
      </c>
      <c r="H22" s="59"/>
    </row>
    <row r="23" spans="2:8" x14ac:dyDescent="0.2">
      <c r="C23" s="71">
        <v>2010</v>
      </c>
      <c r="D23" s="195">
        <v>55036</v>
      </c>
      <c r="E23" s="196">
        <f t="shared" si="0"/>
        <v>41.045617631983603</v>
      </c>
      <c r="F23" s="191">
        <v>3.18</v>
      </c>
      <c r="H23" s="59"/>
    </row>
    <row r="24" spans="2:8" x14ac:dyDescent="0.2">
      <c r="C24" s="71">
        <v>2021</v>
      </c>
      <c r="D24" s="195">
        <v>71104.754466624552</v>
      </c>
      <c r="E24" s="196">
        <f t="shared" si="0"/>
        <v>29.19680657501371</v>
      </c>
      <c r="F24" s="191">
        <v>4.18</v>
      </c>
      <c r="H24" s="59"/>
    </row>
    <row r="25" spans="2:8" x14ac:dyDescent="0.2">
      <c r="C25" s="75"/>
      <c r="D25" s="197"/>
      <c r="E25" s="198"/>
      <c r="F25" s="199"/>
      <c r="H25" s="59"/>
    </row>
    <row r="26" spans="2:8" x14ac:dyDescent="0.2">
      <c r="B26" s="74"/>
      <c r="C26" s="74"/>
      <c r="D26" s="74"/>
      <c r="E26" s="74"/>
      <c r="F26" s="74"/>
      <c r="G26" s="74"/>
      <c r="H26" s="74"/>
    </row>
    <row r="27" spans="2:8" x14ac:dyDescent="0.2">
      <c r="B27" s="50"/>
      <c r="D27" s="50"/>
      <c r="E27" s="50"/>
      <c r="F27" s="50"/>
      <c r="G27" s="50"/>
      <c r="H27" s="50"/>
    </row>
    <row r="28" spans="2:8" x14ac:dyDescent="0.2">
      <c r="B28" s="125"/>
      <c r="C28" s="402"/>
      <c r="D28" s="402"/>
      <c r="E28" s="402"/>
      <c r="F28" s="402"/>
      <c r="G28" s="402"/>
      <c r="H28" s="402"/>
    </row>
    <row r="29" spans="2:8" ht="15" x14ac:dyDescent="0.25">
      <c r="B29" s="125"/>
      <c r="C29" s="65" t="s">
        <v>114</v>
      </c>
      <c r="D29" s="43" t="s">
        <v>136</v>
      </c>
      <c r="E29" s="43"/>
      <c r="F29" s="43"/>
      <c r="G29" s="140"/>
      <c r="H29" s="140"/>
    </row>
    <row r="30" spans="2:8" x14ac:dyDescent="0.2">
      <c r="B30" s="50"/>
      <c r="C30" s="50"/>
      <c r="D30" s="50"/>
      <c r="E30" s="50"/>
      <c r="F30" s="50"/>
      <c r="G30" s="50"/>
      <c r="H30" s="50"/>
    </row>
    <row r="31" spans="2:8" x14ac:dyDescent="0.2">
      <c r="B31" s="125"/>
      <c r="C31" s="49"/>
      <c r="D31" s="192"/>
      <c r="E31" s="49"/>
      <c r="F31" s="192"/>
      <c r="G31" s="49"/>
      <c r="H31" s="192"/>
    </row>
    <row r="32" spans="2:8" x14ac:dyDescent="0.2">
      <c r="B32" s="50"/>
      <c r="C32" s="51"/>
      <c r="D32" s="131"/>
      <c r="E32" s="51"/>
      <c r="F32" s="131"/>
      <c r="G32" s="51"/>
      <c r="H32" s="131"/>
    </row>
    <row r="33" spans="2:8" x14ac:dyDescent="0.2">
      <c r="B33" s="50"/>
      <c r="C33" s="53"/>
      <c r="D33" s="200"/>
      <c r="E33" s="51"/>
      <c r="F33" s="52"/>
      <c r="G33" s="51"/>
      <c r="H33" s="52"/>
    </row>
    <row r="34" spans="2:8" x14ac:dyDescent="0.2">
      <c r="B34" s="50"/>
      <c r="C34" s="53"/>
      <c r="D34" s="200"/>
      <c r="E34" s="51"/>
      <c r="F34" s="52"/>
      <c r="G34" s="51"/>
      <c r="H34" s="52"/>
    </row>
    <row r="35" spans="2:8" x14ac:dyDescent="0.2">
      <c r="B35" s="50"/>
      <c r="C35" s="53"/>
      <c r="D35" s="200"/>
      <c r="E35" s="51"/>
      <c r="F35" s="52"/>
      <c r="G35" s="51"/>
      <c r="H35" s="52"/>
    </row>
    <row r="36" spans="2:8" ht="15" customHeight="1" x14ac:dyDescent="0.2"/>
    <row r="37" spans="2:8" x14ac:dyDescent="0.2">
      <c r="B37" s="50"/>
      <c r="C37" s="53"/>
      <c r="D37" s="200"/>
      <c r="E37" s="51"/>
      <c r="F37" s="52"/>
      <c r="G37" s="51"/>
      <c r="H37" s="52"/>
    </row>
    <row r="38" spans="2:8" ht="15" customHeight="1" x14ac:dyDescent="0.2">
      <c r="B38" s="201"/>
      <c r="C38" s="51"/>
      <c r="D38" s="200"/>
      <c r="E38" s="51"/>
      <c r="F38" s="52"/>
      <c r="G38" s="51"/>
      <c r="H38" s="52"/>
    </row>
    <row r="39" spans="2:8" x14ac:dyDescent="0.2">
      <c r="B39" s="59"/>
      <c r="C39" s="59"/>
      <c r="D39" s="59"/>
      <c r="E39" s="59"/>
      <c r="F39" s="59"/>
      <c r="G39" s="59"/>
      <c r="H39" s="59"/>
    </row>
    <row r="49" spans="1:10" x14ac:dyDescent="0.2">
      <c r="B49" s="55"/>
      <c r="D49" s="55"/>
      <c r="E49" s="55"/>
      <c r="F49" s="55"/>
      <c r="G49" s="55"/>
      <c r="H49" s="55"/>
      <c r="I49" s="55"/>
    </row>
    <row r="51" spans="1:10" x14ac:dyDescent="0.2">
      <c r="B51" s="55" t="s">
        <v>38</v>
      </c>
    </row>
    <row r="52" spans="1:10" x14ac:dyDescent="0.2">
      <c r="B52" s="55"/>
    </row>
    <row r="53" spans="1:10" ht="12.75" customHeight="1" x14ac:dyDescent="0.2">
      <c r="A53" s="76"/>
      <c r="B53" s="76"/>
      <c r="C53" s="76"/>
      <c r="D53" s="76"/>
      <c r="E53" s="76"/>
      <c r="F53" s="76"/>
      <c r="G53" s="76"/>
      <c r="H53" s="76"/>
      <c r="I53" s="76"/>
      <c r="J53" s="76"/>
    </row>
    <row r="54" spans="1:10" x14ac:dyDescent="0.2">
      <c r="A54" s="339"/>
      <c r="B54" s="339"/>
      <c r="C54" s="339"/>
      <c r="D54" s="339"/>
      <c r="E54" s="339"/>
      <c r="F54" s="339"/>
      <c r="G54" s="339"/>
      <c r="H54" s="339"/>
    </row>
  </sheetData>
  <mergeCells count="4">
    <mergeCell ref="D5:F6"/>
    <mergeCell ref="C28:D28"/>
    <mergeCell ref="E28:F28"/>
    <mergeCell ref="G28:H28"/>
  </mergeCells>
  <pageMargins left="0.7" right="0.7" top="0.75" bottom="0.75" header="0.3" footer="0.3"/>
  <pageSetup scale="93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57345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47625</xdr:rowOff>
              </from>
              <to>
                <xdr:col>1</xdr:col>
                <xdr:colOff>581025</xdr:colOff>
                <xdr:row>3</xdr:row>
                <xdr:rowOff>76200</xdr:rowOff>
              </to>
            </anchor>
          </objectPr>
        </oleObject>
      </mc:Choice>
      <mc:Fallback>
        <oleObject progId="MSPhotoEd.3" shapeId="57345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G69"/>
  <sheetViews>
    <sheetView zoomScaleNormal="100" zoomScaleSheetLayoutView="100" workbookViewId="0">
      <selection activeCell="K4" sqref="K4"/>
    </sheetView>
  </sheetViews>
  <sheetFormatPr defaultRowHeight="15" x14ac:dyDescent="0.25"/>
  <cols>
    <col min="1" max="1" width="9.140625" style="46"/>
    <col min="2" max="2" width="16.140625" style="65" customWidth="1"/>
    <col min="3" max="3" width="8" style="65" customWidth="1"/>
    <col min="4" max="9" width="9.42578125" style="46" customWidth="1"/>
    <col min="10" max="10" width="10.42578125" style="93" customWidth="1"/>
    <col min="11" max="11" width="9.140625" style="46"/>
    <col min="12" max="33" width="9.140625" style="42"/>
    <col min="34" max="16384" width="9.140625" style="46"/>
  </cols>
  <sheetData>
    <row r="2" spans="2:33" x14ac:dyDescent="0.25">
      <c r="H2" s="65" t="s">
        <v>323</v>
      </c>
    </row>
    <row r="3" spans="2:33" x14ac:dyDescent="0.25">
      <c r="I3" s="44"/>
      <c r="J3" s="57"/>
    </row>
    <row r="6" spans="2:33" x14ac:dyDescent="0.25">
      <c r="B6" s="92">
        <v>1.08</v>
      </c>
      <c r="C6" s="404" t="s">
        <v>326</v>
      </c>
      <c r="D6" s="404"/>
      <c r="E6" s="404"/>
      <c r="F6" s="404"/>
      <c r="G6" s="404"/>
      <c r="H6" s="404"/>
      <c r="I6" s="404"/>
      <c r="J6" s="404"/>
    </row>
    <row r="7" spans="2:33" x14ac:dyDescent="0.25">
      <c r="B7" s="92"/>
      <c r="C7" s="121"/>
      <c r="D7" s="121"/>
      <c r="E7" s="121"/>
      <c r="F7" s="121"/>
      <c r="G7" s="121"/>
      <c r="H7" s="121"/>
      <c r="I7" s="121"/>
      <c r="J7" s="121"/>
    </row>
    <row r="8" spans="2:33" s="54" customFormat="1" x14ac:dyDescent="0.25">
      <c r="B8" s="202"/>
      <c r="C8" s="202"/>
      <c r="J8" s="203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</row>
    <row r="9" spans="2:33" s="65" customFormat="1" x14ac:dyDescent="0.25">
      <c r="B9" s="403" t="s">
        <v>132</v>
      </c>
      <c r="C9" s="204"/>
      <c r="D9" s="205" t="s">
        <v>1</v>
      </c>
      <c r="E9" s="205" t="s">
        <v>92</v>
      </c>
      <c r="F9" s="205" t="s">
        <v>91</v>
      </c>
      <c r="G9" s="205" t="s">
        <v>93</v>
      </c>
      <c r="H9" s="205" t="s">
        <v>94</v>
      </c>
      <c r="I9" s="205" t="s">
        <v>20</v>
      </c>
      <c r="J9" s="206" t="s">
        <v>68</v>
      </c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</row>
    <row r="10" spans="2:33" ht="21.75" customHeight="1" x14ac:dyDescent="0.25">
      <c r="B10" s="403"/>
      <c r="C10" s="204" t="s">
        <v>1</v>
      </c>
      <c r="D10" s="53">
        <f>SUM(E10:J10)</f>
        <v>71104.754466639701</v>
      </c>
      <c r="E10" s="53">
        <v>11314.667751410881</v>
      </c>
      <c r="F10" s="53">
        <v>12250.884119830596</v>
      </c>
      <c r="G10" s="53">
        <v>27291.492412152438</v>
      </c>
      <c r="H10" s="53">
        <v>14130.474493652131</v>
      </c>
      <c r="I10" s="53">
        <v>5602.0474907221969</v>
      </c>
      <c r="J10" s="207">
        <v>515.18819887146287</v>
      </c>
    </row>
    <row r="11" spans="2:33" x14ac:dyDescent="0.25">
      <c r="B11" s="208"/>
      <c r="C11" s="204" t="s">
        <v>2</v>
      </c>
      <c r="D11" s="53">
        <f t="shared" ref="D11:D13" si="0">SUM(E11:J11)</f>
        <v>35983.662691786158</v>
      </c>
      <c r="E11" s="53">
        <v>5754.9630606498658</v>
      </c>
      <c r="F11" s="53">
        <v>6183.5498265375627</v>
      </c>
      <c r="G11" s="53">
        <v>14035.960381474726</v>
      </c>
      <c r="H11" s="53">
        <v>7116.596937289065</v>
      </c>
      <c r="I11" s="53">
        <v>2606.7084670793652</v>
      </c>
      <c r="J11" s="207">
        <v>285.884018755569</v>
      </c>
    </row>
    <row r="12" spans="2:33" x14ac:dyDescent="0.25">
      <c r="B12" s="208"/>
      <c r="C12" s="204" t="s">
        <v>3</v>
      </c>
      <c r="D12" s="53">
        <f t="shared" si="0"/>
        <v>35058.098204752896</v>
      </c>
      <c r="E12" s="53">
        <v>5532.3696897254849</v>
      </c>
      <c r="F12" s="53">
        <v>6067.3342932928208</v>
      </c>
      <c r="G12" s="53">
        <v>13253.436325881692</v>
      </c>
      <c r="H12" s="53">
        <v>7012.8297039640493</v>
      </c>
      <c r="I12" s="53">
        <v>2993.2497746319141</v>
      </c>
      <c r="J12" s="207">
        <v>198.87841725693684</v>
      </c>
    </row>
    <row r="13" spans="2:33" x14ac:dyDescent="0.25">
      <c r="B13" s="208"/>
      <c r="C13" s="204" t="s">
        <v>122</v>
      </c>
      <c r="D13" s="53">
        <f t="shared" si="0"/>
        <v>62.993570102238998</v>
      </c>
      <c r="E13" s="53">
        <v>27.335001035175139</v>
      </c>
      <c r="F13" s="53">
        <v>0</v>
      </c>
      <c r="G13" s="53">
        <v>2.09570479800704</v>
      </c>
      <c r="H13" s="53">
        <v>1.04785239900352</v>
      </c>
      <c r="I13" s="53">
        <v>2.0892490110998203</v>
      </c>
      <c r="J13" s="207">
        <v>30.425762858953476</v>
      </c>
    </row>
    <row r="14" spans="2:33" x14ac:dyDescent="0.25">
      <c r="B14" s="204"/>
      <c r="C14" s="204"/>
      <c r="D14" s="53"/>
      <c r="E14" s="53"/>
      <c r="F14" s="53"/>
      <c r="G14" s="53"/>
      <c r="H14" s="53"/>
      <c r="I14" s="53"/>
      <c r="J14" s="207"/>
    </row>
    <row r="15" spans="2:33" x14ac:dyDescent="0.25">
      <c r="B15" s="204" t="s">
        <v>48</v>
      </c>
      <c r="C15" s="204" t="s">
        <v>1</v>
      </c>
      <c r="D15" s="53">
        <f>SUM(E15:J15)</f>
        <v>68847.916762526424</v>
      </c>
      <c r="E15" s="53">
        <v>10972.261734335812</v>
      </c>
      <c r="F15" s="53">
        <v>11910.80771885377</v>
      </c>
      <c r="G15" s="53">
        <v>26595.234912327749</v>
      </c>
      <c r="H15" s="53">
        <v>13603.669913100324</v>
      </c>
      <c r="I15" s="53">
        <v>5262.6310264949889</v>
      </c>
      <c r="J15" s="53">
        <v>503.31145741377054</v>
      </c>
    </row>
    <row r="16" spans="2:33" x14ac:dyDescent="0.25">
      <c r="B16" s="204"/>
      <c r="C16" s="204" t="s">
        <v>2</v>
      </c>
      <c r="D16" s="53">
        <f t="shared" ref="D16:D18" si="1">SUM(E16:J16)</f>
        <v>34885.086064459647</v>
      </c>
      <c r="E16" s="53">
        <v>5584.2999039967717</v>
      </c>
      <c r="F16" s="53">
        <v>6008.008165449929</v>
      </c>
      <c r="G16" s="53">
        <v>13695.804630599599</v>
      </c>
      <c r="H16" s="53">
        <v>6860.6977553358165</v>
      </c>
      <c r="I16" s="53">
        <v>2455.7901091663657</v>
      </c>
      <c r="J16" s="53">
        <v>280.4854999111634</v>
      </c>
    </row>
    <row r="17" spans="1:33" x14ac:dyDescent="0.25">
      <c r="B17" s="204"/>
      <c r="C17" s="204" t="s">
        <v>3</v>
      </c>
      <c r="D17" s="53">
        <f t="shared" si="1"/>
        <v>33901.99653550388</v>
      </c>
      <c r="E17" s="53">
        <v>5362.7862368412725</v>
      </c>
      <c r="F17" s="53">
        <v>5902.799553403629</v>
      </c>
      <c r="G17" s="53">
        <v>12897.334576932129</v>
      </c>
      <c r="H17" s="53">
        <v>6741.9243053654918</v>
      </c>
      <c r="I17" s="53">
        <v>2804.7516683177059</v>
      </c>
      <c r="J17" s="53">
        <v>192.40019464365011</v>
      </c>
    </row>
    <row r="18" spans="1:33" x14ac:dyDescent="0.25">
      <c r="B18" s="204"/>
      <c r="C18" s="204" t="s">
        <v>122</v>
      </c>
      <c r="D18" s="53">
        <f t="shared" si="1"/>
        <v>60.834162564476756</v>
      </c>
      <c r="E18" s="53">
        <v>25.175593497412898</v>
      </c>
      <c r="F18" s="53">
        <v>0</v>
      </c>
      <c r="G18" s="53">
        <v>2.09570479800704</v>
      </c>
      <c r="H18" s="53">
        <v>1.04785239900352</v>
      </c>
      <c r="I18" s="53">
        <v>2.0892490110998203</v>
      </c>
      <c r="J18" s="53">
        <v>30.425762858953476</v>
      </c>
    </row>
    <row r="19" spans="1:33" x14ac:dyDescent="0.25">
      <c r="B19" s="204"/>
      <c r="C19" s="204"/>
      <c r="D19" s="53"/>
      <c r="E19" s="53"/>
      <c r="F19" s="53"/>
      <c r="G19" s="53"/>
      <c r="H19" s="53"/>
      <c r="I19" s="53"/>
      <c r="J19" s="207"/>
    </row>
    <row r="20" spans="1:33" x14ac:dyDescent="0.25">
      <c r="B20" s="204" t="s">
        <v>11</v>
      </c>
      <c r="C20" s="204" t="s">
        <v>1</v>
      </c>
      <c r="D20" s="53">
        <f>SUM(E20:J20)</f>
        <v>2256.8377041132921</v>
      </c>
      <c r="E20" s="53">
        <v>342.40601707506863</v>
      </c>
      <c r="F20" s="53">
        <v>340.07640097682554</v>
      </c>
      <c r="G20" s="53">
        <v>696.25749982468994</v>
      </c>
      <c r="H20" s="53">
        <v>526.80458055180736</v>
      </c>
      <c r="I20" s="53">
        <v>339.41646422720839</v>
      </c>
      <c r="J20" s="207">
        <v>11.876741457692322</v>
      </c>
    </row>
    <row r="21" spans="1:33" x14ac:dyDescent="0.25">
      <c r="B21" s="204"/>
      <c r="C21" s="204" t="s">
        <v>2</v>
      </c>
      <c r="D21" s="53">
        <f t="shared" ref="D21:D23" si="2">SUM(E21:J21)</f>
        <v>1098.5766273265074</v>
      </c>
      <c r="E21" s="53">
        <v>170.66315665309378</v>
      </c>
      <c r="F21" s="53">
        <v>175.54166108763394</v>
      </c>
      <c r="G21" s="53">
        <v>340.15575087512616</v>
      </c>
      <c r="H21" s="53">
        <v>255.89918195324867</v>
      </c>
      <c r="I21" s="53">
        <v>150.91835791299926</v>
      </c>
      <c r="J21" s="207">
        <v>5.3985188444055998</v>
      </c>
    </row>
    <row r="22" spans="1:33" s="65" customFormat="1" x14ac:dyDescent="0.25">
      <c r="A22" s="46"/>
      <c r="B22" s="204"/>
      <c r="C22" s="204" t="s">
        <v>3</v>
      </c>
      <c r="D22" s="53">
        <f t="shared" si="2"/>
        <v>1156.101669249018</v>
      </c>
      <c r="E22" s="53">
        <v>169.58345288421268</v>
      </c>
      <c r="F22" s="53">
        <v>164.53473988919188</v>
      </c>
      <c r="G22" s="53">
        <v>356.1017489495618</v>
      </c>
      <c r="H22" s="53">
        <v>270.90539859855704</v>
      </c>
      <c r="I22" s="53">
        <v>188.49810631420794</v>
      </c>
      <c r="J22" s="207">
        <v>6.4782226132867198</v>
      </c>
      <c r="K22" s="46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</row>
    <row r="23" spans="1:33" ht="12.75" customHeight="1" x14ac:dyDescent="0.25">
      <c r="B23" s="204"/>
      <c r="C23" s="204" t="s">
        <v>122</v>
      </c>
      <c r="D23" s="53">
        <f t="shared" si="2"/>
        <v>2.1594075377622399</v>
      </c>
      <c r="E23" s="53">
        <v>2.1594075377622399</v>
      </c>
      <c r="F23" s="53">
        <v>0</v>
      </c>
      <c r="G23" s="53">
        <v>0</v>
      </c>
      <c r="H23" s="53">
        <v>0</v>
      </c>
      <c r="I23" s="53">
        <v>0</v>
      </c>
      <c r="J23" s="207">
        <v>0</v>
      </c>
    </row>
    <row r="24" spans="1:33" x14ac:dyDescent="0.25">
      <c r="B24" s="209"/>
      <c r="C24" s="209"/>
      <c r="D24" s="68"/>
      <c r="E24" s="68"/>
      <c r="F24" s="68"/>
      <c r="G24" s="68"/>
      <c r="H24" s="68"/>
      <c r="I24" s="68"/>
      <c r="J24" s="210"/>
    </row>
    <row r="25" spans="1:33" x14ac:dyDescent="0.25">
      <c r="A25" s="65"/>
      <c r="B25" s="403" t="s">
        <v>95</v>
      </c>
      <c r="C25" s="204"/>
      <c r="D25" s="205" t="s">
        <v>1</v>
      </c>
      <c r="E25" s="205" t="s">
        <v>92</v>
      </c>
      <c r="F25" s="205" t="s">
        <v>91</v>
      </c>
      <c r="G25" s="205" t="s">
        <v>93</v>
      </c>
      <c r="H25" s="205" t="s">
        <v>94</v>
      </c>
      <c r="I25" s="205" t="s">
        <v>20</v>
      </c>
      <c r="J25" s="206" t="s">
        <v>68</v>
      </c>
      <c r="K25" s="65"/>
    </row>
    <row r="26" spans="1:33" x14ac:dyDescent="0.25">
      <c r="A26" s="65"/>
      <c r="B26" s="403"/>
      <c r="C26" s="204"/>
      <c r="D26" s="205"/>
      <c r="E26" s="205"/>
      <c r="F26" s="205"/>
      <c r="G26" s="205"/>
      <c r="H26" s="205"/>
      <c r="I26" s="205"/>
      <c r="J26" s="206"/>
      <c r="K26" s="65"/>
    </row>
    <row r="27" spans="1:33" ht="18" customHeight="1" x14ac:dyDescent="0.25">
      <c r="B27" s="403"/>
      <c r="C27" s="204" t="s">
        <v>1</v>
      </c>
      <c r="D27" s="53">
        <v>55036.000008240386</v>
      </c>
      <c r="E27" s="53">
        <v>9968.270479258108</v>
      </c>
      <c r="F27" s="53">
        <v>10747.384560114991</v>
      </c>
      <c r="G27" s="53">
        <v>23166.735416128151</v>
      </c>
      <c r="H27" s="53">
        <v>8168.2758194771459</v>
      </c>
      <c r="I27" s="53">
        <v>2985.3337332619858</v>
      </c>
      <c r="J27" s="207">
        <v>0</v>
      </c>
    </row>
    <row r="28" spans="1:33" x14ac:dyDescent="0.25">
      <c r="B28" s="208"/>
      <c r="C28" s="204" t="s">
        <v>2</v>
      </c>
      <c r="D28" s="53">
        <v>27218.128474082638</v>
      </c>
      <c r="E28" s="53">
        <v>5078.0141259760439</v>
      </c>
      <c r="F28" s="53">
        <v>5240.6282600100021</v>
      </c>
      <c r="G28" s="53">
        <v>11579.925894966525</v>
      </c>
      <c r="H28" s="53">
        <v>3947.0552718470726</v>
      </c>
      <c r="I28" s="53">
        <v>1372.5049212829933</v>
      </c>
      <c r="J28" s="207">
        <v>0</v>
      </c>
    </row>
    <row r="29" spans="1:33" x14ac:dyDescent="0.25">
      <c r="B29" s="208"/>
      <c r="C29" s="204" t="s">
        <v>3</v>
      </c>
      <c r="D29" s="53">
        <v>27817.871534157748</v>
      </c>
      <c r="E29" s="53">
        <v>4890.2563532820641</v>
      </c>
      <c r="F29" s="53">
        <v>5506.7563001049884</v>
      </c>
      <c r="G29" s="53">
        <v>11586.809521161626</v>
      </c>
      <c r="H29" s="53">
        <v>4221.2205476300733</v>
      </c>
      <c r="I29" s="53">
        <v>1612.8288119789922</v>
      </c>
      <c r="J29" s="207">
        <v>0</v>
      </c>
    </row>
    <row r="30" spans="1:33" x14ac:dyDescent="0.25">
      <c r="B30" s="204"/>
      <c r="C30" s="204"/>
      <c r="D30" s="53"/>
      <c r="E30" s="53"/>
      <c r="F30" s="53"/>
      <c r="G30" s="53"/>
      <c r="H30" s="53"/>
      <c r="I30" s="53"/>
      <c r="J30" s="207"/>
    </row>
    <row r="31" spans="1:33" x14ac:dyDescent="0.25">
      <c r="B31" s="204" t="s">
        <v>48</v>
      </c>
      <c r="C31" s="204" t="s">
        <v>1</v>
      </c>
      <c r="D31" s="53">
        <v>52740.000007200382</v>
      </c>
      <c r="E31" s="53">
        <v>9625.9023375101078</v>
      </c>
      <c r="F31" s="53">
        <v>10315.61464841499</v>
      </c>
      <c r="G31" s="53">
        <v>22356.02391133616</v>
      </c>
      <c r="H31" s="53">
        <v>7754.7926334491449</v>
      </c>
      <c r="I31" s="53">
        <v>2687.6664764899851</v>
      </c>
      <c r="J31" s="207">
        <v>0</v>
      </c>
    </row>
    <row r="32" spans="1:33" x14ac:dyDescent="0.25">
      <c r="B32" s="204"/>
      <c r="C32" s="204" t="s">
        <v>2</v>
      </c>
      <c r="D32" s="53">
        <v>26107.71785411064</v>
      </c>
      <c r="E32" s="53">
        <v>4908.353948908044</v>
      </c>
      <c r="F32" s="53">
        <v>5013.0601183140016</v>
      </c>
      <c r="G32" s="53">
        <v>11178.633859386529</v>
      </c>
      <c r="H32" s="53">
        <v>3757.0765106990721</v>
      </c>
      <c r="I32" s="53">
        <v>1250.593416802993</v>
      </c>
      <c r="J32" s="207">
        <v>0</v>
      </c>
    </row>
    <row r="33" spans="1:33" x14ac:dyDescent="0.25">
      <c r="B33" s="204"/>
      <c r="C33" s="204" t="s">
        <v>3</v>
      </c>
      <c r="D33" s="53">
        <v>26632.282153089745</v>
      </c>
      <c r="E33" s="53">
        <v>4717.5483886020638</v>
      </c>
      <c r="F33" s="53">
        <v>5302.5545301009879</v>
      </c>
      <c r="G33" s="53">
        <v>11177.390051949629</v>
      </c>
      <c r="H33" s="53">
        <v>3997.7161227500728</v>
      </c>
      <c r="I33" s="53">
        <v>1437.0730596869919</v>
      </c>
      <c r="J33" s="207">
        <v>0</v>
      </c>
    </row>
    <row r="34" spans="1:33" x14ac:dyDescent="0.25">
      <c r="B34" s="204"/>
      <c r="C34" s="204"/>
      <c r="D34" s="53"/>
      <c r="E34" s="53"/>
      <c r="F34" s="53"/>
      <c r="G34" s="53"/>
      <c r="H34" s="53"/>
      <c r="I34" s="53"/>
      <c r="J34" s="207"/>
    </row>
    <row r="35" spans="1:33" x14ac:dyDescent="0.25">
      <c r="B35" s="204" t="s">
        <v>11</v>
      </c>
      <c r="C35" s="204" t="s">
        <v>1</v>
      </c>
      <c r="D35" s="53">
        <v>2296.0000010399963</v>
      </c>
      <c r="E35" s="53">
        <v>342.36814174800065</v>
      </c>
      <c r="F35" s="53">
        <v>431.76991170000088</v>
      </c>
      <c r="G35" s="53">
        <v>810.71150479199343</v>
      </c>
      <c r="H35" s="53">
        <v>413.48318602800077</v>
      </c>
      <c r="I35" s="53">
        <v>297.66725677200054</v>
      </c>
      <c r="J35" s="207">
        <v>0</v>
      </c>
    </row>
    <row r="36" spans="1:33" s="65" customFormat="1" x14ac:dyDescent="0.25">
      <c r="A36" s="46"/>
      <c r="B36" s="204"/>
      <c r="C36" s="204" t="s">
        <v>2</v>
      </c>
      <c r="D36" s="53">
        <v>1110.4106199719981</v>
      </c>
      <c r="E36" s="53">
        <v>169.66017706800031</v>
      </c>
      <c r="F36" s="53">
        <v>227.56814169600045</v>
      </c>
      <c r="G36" s="53">
        <v>401.29203557999682</v>
      </c>
      <c r="H36" s="53">
        <v>189.97876114800036</v>
      </c>
      <c r="I36" s="53">
        <v>121.9115044800002</v>
      </c>
      <c r="J36" s="207">
        <v>0</v>
      </c>
      <c r="K36" s="46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</row>
    <row r="37" spans="1:33" x14ac:dyDescent="0.25">
      <c r="B37" s="209"/>
      <c r="C37" s="209" t="s">
        <v>3</v>
      </c>
      <c r="D37" s="128">
        <v>1185.5893810679981</v>
      </c>
      <c r="E37" s="128">
        <v>172.70796468000032</v>
      </c>
      <c r="F37" s="128">
        <v>204.20177000400039</v>
      </c>
      <c r="G37" s="128">
        <v>409.41946921199661</v>
      </c>
      <c r="H37" s="128">
        <v>223.50442488000044</v>
      </c>
      <c r="I37" s="128">
        <v>175.75575229200032</v>
      </c>
      <c r="J37" s="211">
        <v>0</v>
      </c>
    </row>
    <row r="38" spans="1:33" x14ac:dyDescent="0.25">
      <c r="B38" s="204"/>
      <c r="C38" s="204"/>
      <c r="D38" s="59"/>
      <c r="E38" s="59"/>
      <c r="F38" s="59"/>
      <c r="G38" s="59"/>
      <c r="H38" s="59"/>
      <c r="I38" s="59"/>
      <c r="J38" s="212"/>
    </row>
    <row r="39" spans="1:33" ht="24" customHeight="1" x14ac:dyDescent="0.25">
      <c r="A39" s="65"/>
      <c r="B39" s="119">
        <v>1999</v>
      </c>
      <c r="C39" s="204"/>
      <c r="D39" s="205" t="s">
        <v>1</v>
      </c>
      <c r="E39" s="205" t="s">
        <v>92</v>
      </c>
      <c r="F39" s="205" t="s">
        <v>91</v>
      </c>
      <c r="G39" s="205" t="s">
        <v>93</v>
      </c>
      <c r="H39" s="205" t="s">
        <v>94</v>
      </c>
      <c r="I39" s="205" t="s">
        <v>20</v>
      </c>
      <c r="J39" s="206" t="s">
        <v>68</v>
      </c>
      <c r="K39" s="65"/>
    </row>
    <row r="40" spans="1:33" x14ac:dyDescent="0.25">
      <c r="A40" s="65"/>
      <c r="B40" s="213" t="s">
        <v>21</v>
      </c>
      <c r="C40" s="204"/>
      <c r="D40" s="205"/>
      <c r="E40" s="205"/>
      <c r="F40" s="205"/>
      <c r="G40" s="205"/>
      <c r="H40" s="205"/>
      <c r="I40" s="205"/>
      <c r="J40" s="206"/>
      <c r="K40" s="65"/>
    </row>
    <row r="41" spans="1:33" x14ac:dyDescent="0.25">
      <c r="C41" s="204" t="s">
        <v>1</v>
      </c>
      <c r="D41" s="53">
        <v>39020</v>
      </c>
      <c r="E41" s="53">
        <v>7598</v>
      </c>
      <c r="F41" s="53">
        <v>8706</v>
      </c>
      <c r="G41" s="53">
        <v>15966</v>
      </c>
      <c r="H41" s="53">
        <v>4486</v>
      </c>
      <c r="I41" s="53">
        <v>2195</v>
      </c>
      <c r="J41" s="207">
        <v>69</v>
      </c>
    </row>
    <row r="42" spans="1:33" x14ac:dyDescent="0.25">
      <c r="B42" s="204"/>
      <c r="C42" s="204" t="s">
        <v>2</v>
      </c>
      <c r="D42" s="53">
        <v>19033</v>
      </c>
      <c r="E42" s="53">
        <v>3830</v>
      </c>
      <c r="F42" s="53">
        <v>4218</v>
      </c>
      <c r="G42" s="53">
        <v>7703</v>
      </c>
      <c r="H42" s="53">
        <v>2268</v>
      </c>
      <c r="I42" s="53">
        <v>980</v>
      </c>
      <c r="J42" s="207">
        <v>34</v>
      </c>
    </row>
    <row r="43" spans="1:33" x14ac:dyDescent="0.25">
      <c r="B43" s="204"/>
      <c r="C43" s="204" t="s">
        <v>3</v>
      </c>
      <c r="D43" s="53">
        <v>19987</v>
      </c>
      <c r="E43" s="53">
        <v>3768</v>
      </c>
      <c r="F43" s="53">
        <v>4488</v>
      </c>
      <c r="G43" s="53">
        <v>8263</v>
      </c>
      <c r="H43" s="53">
        <v>2218</v>
      </c>
      <c r="I43" s="53">
        <v>1215</v>
      </c>
      <c r="J43" s="207">
        <v>35</v>
      </c>
    </row>
    <row r="44" spans="1:33" x14ac:dyDescent="0.25">
      <c r="B44" s="204"/>
      <c r="C44" s="204"/>
      <c r="D44" s="53"/>
      <c r="E44" s="53"/>
      <c r="F44" s="53"/>
      <c r="G44" s="53"/>
      <c r="H44" s="53"/>
      <c r="I44" s="53"/>
      <c r="J44" s="207"/>
    </row>
    <row r="45" spans="1:33" x14ac:dyDescent="0.25">
      <c r="B45" s="204" t="s">
        <v>48</v>
      </c>
      <c r="C45" s="204" t="s">
        <v>1</v>
      </c>
      <c r="D45" s="53">
        <v>37083</v>
      </c>
      <c r="E45" s="53">
        <v>7243</v>
      </c>
      <c r="F45" s="53">
        <v>8369</v>
      </c>
      <c r="G45" s="53">
        <v>15279</v>
      </c>
      <c r="H45" s="53">
        <v>4209</v>
      </c>
      <c r="I45" s="53">
        <v>1914</v>
      </c>
      <c r="J45" s="207">
        <v>69</v>
      </c>
    </row>
    <row r="46" spans="1:33" x14ac:dyDescent="0.25">
      <c r="B46" s="204"/>
      <c r="C46" s="204" t="s">
        <v>2</v>
      </c>
      <c r="D46" s="53">
        <v>18091</v>
      </c>
      <c r="E46" s="53">
        <v>3654</v>
      </c>
      <c r="F46" s="53">
        <v>4034</v>
      </c>
      <c r="G46" s="53">
        <v>7394</v>
      </c>
      <c r="H46" s="53">
        <v>2134</v>
      </c>
      <c r="I46" s="53">
        <v>841</v>
      </c>
      <c r="J46" s="207">
        <v>34</v>
      </c>
    </row>
    <row r="47" spans="1:33" x14ac:dyDescent="0.25">
      <c r="B47" s="204"/>
      <c r="C47" s="204" t="s">
        <v>3</v>
      </c>
      <c r="D47" s="53">
        <v>18992</v>
      </c>
      <c r="E47" s="53">
        <v>3589</v>
      </c>
      <c r="F47" s="53">
        <v>4335</v>
      </c>
      <c r="G47" s="53">
        <v>7885</v>
      </c>
      <c r="H47" s="53">
        <v>2075</v>
      </c>
      <c r="I47" s="53">
        <v>1073</v>
      </c>
      <c r="J47" s="207">
        <v>35</v>
      </c>
    </row>
    <row r="48" spans="1:33" x14ac:dyDescent="0.25">
      <c r="B48" s="204"/>
      <c r="C48" s="204"/>
      <c r="D48" s="53"/>
      <c r="E48" s="53"/>
      <c r="F48" s="53"/>
      <c r="G48" s="53"/>
      <c r="H48" s="53"/>
      <c r="I48" s="53"/>
      <c r="J48" s="207"/>
    </row>
    <row r="49" spans="1:33" x14ac:dyDescent="0.25">
      <c r="B49" s="204" t="s">
        <v>11</v>
      </c>
      <c r="C49" s="204" t="s">
        <v>1</v>
      </c>
      <c r="D49" s="53">
        <v>1937</v>
      </c>
      <c r="E49" s="53">
        <v>355</v>
      </c>
      <c r="F49" s="53">
        <v>337</v>
      </c>
      <c r="G49" s="53">
        <v>687</v>
      </c>
      <c r="H49" s="53">
        <v>277</v>
      </c>
      <c r="I49" s="53">
        <v>281</v>
      </c>
      <c r="J49" s="207">
        <v>0</v>
      </c>
    </row>
    <row r="50" spans="1:33" s="65" customFormat="1" x14ac:dyDescent="0.25">
      <c r="A50" s="46"/>
      <c r="B50" s="204"/>
      <c r="C50" s="204" t="s">
        <v>2</v>
      </c>
      <c r="D50" s="53">
        <v>942</v>
      </c>
      <c r="E50" s="53">
        <v>176</v>
      </c>
      <c r="F50" s="53">
        <v>184</v>
      </c>
      <c r="G50" s="53">
        <v>309</v>
      </c>
      <c r="H50" s="53">
        <v>134</v>
      </c>
      <c r="I50" s="53">
        <v>139</v>
      </c>
      <c r="J50" s="207">
        <v>0</v>
      </c>
      <c r="K50" s="46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</row>
    <row r="51" spans="1:33" x14ac:dyDescent="0.25">
      <c r="B51" s="209"/>
      <c r="C51" s="209" t="s">
        <v>3</v>
      </c>
      <c r="D51" s="128">
        <v>995</v>
      </c>
      <c r="E51" s="128">
        <v>179</v>
      </c>
      <c r="F51" s="128">
        <v>153</v>
      </c>
      <c r="G51" s="128">
        <v>378</v>
      </c>
      <c r="H51" s="128">
        <v>143</v>
      </c>
      <c r="I51" s="128">
        <v>142</v>
      </c>
      <c r="J51" s="211">
        <v>0</v>
      </c>
    </row>
    <row r="52" spans="1:33" x14ac:dyDescent="0.25">
      <c r="B52" s="204"/>
      <c r="C52" s="204"/>
      <c r="D52" s="59"/>
      <c r="E52" s="59"/>
      <c r="F52" s="59"/>
      <c r="G52" s="59"/>
      <c r="H52" s="59"/>
      <c r="I52" s="59"/>
      <c r="J52" s="212"/>
    </row>
    <row r="53" spans="1:33" x14ac:dyDescent="0.25">
      <c r="A53" s="65"/>
      <c r="B53" s="178">
        <v>1989</v>
      </c>
      <c r="C53" s="204"/>
      <c r="D53" s="205" t="s">
        <v>1</v>
      </c>
      <c r="E53" s="205" t="s">
        <v>92</v>
      </c>
      <c r="F53" s="205" t="s">
        <v>91</v>
      </c>
      <c r="G53" s="205" t="s">
        <v>93</v>
      </c>
      <c r="H53" s="205" t="s">
        <v>94</v>
      </c>
      <c r="I53" s="205" t="s">
        <v>20</v>
      </c>
      <c r="J53" s="206" t="s">
        <v>68</v>
      </c>
      <c r="K53" s="65"/>
    </row>
    <row r="54" spans="1:33" x14ac:dyDescent="0.25">
      <c r="A54" s="65"/>
      <c r="B54" s="213" t="s">
        <v>21</v>
      </c>
      <c r="C54" s="204"/>
      <c r="D54" s="205"/>
      <c r="E54" s="205"/>
      <c r="F54" s="205"/>
      <c r="G54" s="205"/>
      <c r="H54" s="205"/>
      <c r="I54" s="205"/>
      <c r="J54" s="206"/>
      <c r="K54" s="65"/>
    </row>
    <row r="55" spans="1:33" x14ac:dyDescent="0.25">
      <c r="B55" s="213"/>
      <c r="C55" s="204" t="s">
        <v>1</v>
      </c>
      <c r="D55" s="53">
        <v>25355</v>
      </c>
      <c r="E55" s="53">
        <v>5758</v>
      </c>
      <c r="F55" s="53">
        <v>7194</v>
      </c>
      <c r="G55" s="53">
        <v>8112</v>
      </c>
      <c r="H55" s="53">
        <v>2690</v>
      </c>
      <c r="I55" s="53">
        <v>1601</v>
      </c>
      <c r="J55" s="207">
        <v>0</v>
      </c>
    </row>
    <row r="56" spans="1:33" x14ac:dyDescent="0.25">
      <c r="B56" s="204"/>
      <c r="C56" s="204" t="s">
        <v>2</v>
      </c>
      <c r="D56" s="53">
        <v>12372</v>
      </c>
      <c r="E56" s="53">
        <v>2900</v>
      </c>
      <c r="F56" s="53">
        <v>3528</v>
      </c>
      <c r="G56" s="53">
        <v>3934</v>
      </c>
      <c r="H56" s="53">
        <v>1344</v>
      </c>
      <c r="I56" s="53">
        <v>666</v>
      </c>
      <c r="J56" s="207">
        <v>0</v>
      </c>
    </row>
    <row r="57" spans="1:33" x14ac:dyDescent="0.25">
      <c r="B57" s="204"/>
      <c r="C57" s="204" t="s">
        <v>3</v>
      </c>
      <c r="D57" s="53">
        <v>12983</v>
      </c>
      <c r="E57" s="53">
        <v>2858</v>
      </c>
      <c r="F57" s="53">
        <v>3666</v>
      </c>
      <c r="G57" s="53">
        <v>4178</v>
      </c>
      <c r="H57" s="53">
        <v>1346</v>
      </c>
      <c r="I57" s="53">
        <v>935</v>
      </c>
      <c r="J57" s="207">
        <v>0</v>
      </c>
    </row>
    <row r="58" spans="1:33" x14ac:dyDescent="0.25">
      <c r="B58" s="204"/>
      <c r="C58" s="204"/>
      <c r="D58" s="53"/>
      <c r="E58" s="53"/>
      <c r="F58" s="53"/>
      <c r="G58" s="53"/>
      <c r="H58" s="53"/>
      <c r="I58" s="53"/>
      <c r="J58" s="207"/>
    </row>
    <row r="59" spans="1:33" x14ac:dyDescent="0.25">
      <c r="B59" s="204" t="s">
        <v>48</v>
      </c>
      <c r="C59" s="204" t="s">
        <v>1</v>
      </c>
      <c r="D59" s="53">
        <v>23881</v>
      </c>
      <c r="E59" s="53">
        <v>5430</v>
      </c>
      <c r="F59" s="53">
        <v>6873</v>
      </c>
      <c r="G59" s="53">
        <v>7735</v>
      </c>
      <c r="H59" s="53">
        <v>2445</v>
      </c>
      <c r="I59" s="53">
        <v>1398</v>
      </c>
      <c r="J59" s="207">
        <v>0</v>
      </c>
    </row>
    <row r="60" spans="1:33" x14ac:dyDescent="0.25">
      <c r="B60" s="204"/>
      <c r="C60" s="204" t="s">
        <v>2</v>
      </c>
      <c r="D60" s="53">
        <v>11654</v>
      </c>
      <c r="E60" s="53">
        <v>2732</v>
      </c>
      <c r="F60" s="53">
        <v>3373</v>
      </c>
      <c r="G60" s="53">
        <v>3762</v>
      </c>
      <c r="H60" s="53">
        <v>1216</v>
      </c>
      <c r="I60" s="53">
        <v>571</v>
      </c>
      <c r="J60" s="207">
        <v>0</v>
      </c>
    </row>
    <row r="61" spans="1:33" x14ac:dyDescent="0.25">
      <c r="B61" s="204"/>
      <c r="C61" s="204" t="s">
        <v>3</v>
      </c>
      <c r="D61" s="53">
        <v>12227</v>
      </c>
      <c r="E61" s="53">
        <v>2698</v>
      </c>
      <c r="F61" s="53">
        <v>3500</v>
      </c>
      <c r="G61" s="53">
        <v>3973</v>
      </c>
      <c r="H61" s="53">
        <v>1229</v>
      </c>
      <c r="I61" s="53">
        <v>827</v>
      </c>
      <c r="J61" s="207">
        <v>0</v>
      </c>
    </row>
    <row r="62" spans="1:33" x14ac:dyDescent="0.25">
      <c r="B62" s="204"/>
      <c r="C62" s="204"/>
      <c r="D62" s="53"/>
      <c r="E62" s="53"/>
      <c r="F62" s="53"/>
      <c r="G62" s="53"/>
      <c r="H62" s="53"/>
      <c r="I62" s="53"/>
      <c r="J62" s="207"/>
    </row>
    <row r="63" spans="1:33" x14ac:dyDescent="0.25">
      <c r="B63" s="204" t="s">
        <v>11</v>
      </c>
      <c r="C63" s="204" t="s">
        <v>1</v>
      </c>
      <c r="D63" s="53">
        <v>1474</v>
      </c>
      <c r="E63" s="53">
        <v>328</v>
      </c>
      <c r="F63" s="53">
        <v>321</v>
      </c>
      <c r="G63" s="53">
        <v>377</v>
      </c>
      <c r="H63" s="53">
        <v>245</v>
      </c>
      <c r="I63" s="53">
        <v>203</v>
      </c>
      <c r="J63" s="207">
        <v>0</v>
      </c>
    </row>
    <row r="64" spans="1:33" x14ac:dyDescent="0.25">
      <c r="B64" s="204"/>
      <c r="C64" s="204" t="s">
        <v>2</v>
      </c>
      <c r="D64" s="53">
        <v>718</v>
      </c>
      <c r="E64" s="53">
        <v>168</v>
      </c>
      <c r="F64" s="53">
        <v>155</v>
      </c>
      <c r="G64" s="53">
        <v>172</v>
      </c>
      <c r="H64" s="53">
        <v>128</v>
      </c>
      <c r="I64" s="53">
        <v>95</v>
      </c>
      <c r="J64" s="207">
        <v>0</v>
      </c>
    </row>
    <row r="65" spans="2:10" x14ac:dyDescent="0.25">
      <c r="B65" s="209"/>
      <c r="C65" s="209" t="s">
        <v>3</v>
      </c>
      <c r="D65" s="128">
        <v>756</v>
      </c>
      <c r="E65" s="128">
        <v>160</v>
      </c>
      <c r="F65" s="128">
        <v>166</v>
      </c>
      <c r="G65" s="128">
        <v>205</v>
      </c>
      <c r="H65" s="128">
        <v>117</v>
      </c>
      <c r="I65" s="128">
        <v>108</v>
      </c>
      <c r="J65" s="211">
        <v>0</v>
      </c>
    </row>
    <row r="67" spans="2:10" x14ac:dyDescent="0.25">
      <c r="B67" s="55" t="s">
        <v>38</v>
      </c>
    </row>
    <row r="69" spans="2:10" x14ac:dyDescent="0.25">
      <c r="B69" s="118"/>
      <c r="C69" s="118"/>
      <c r="D69" s="118"/>
      <c r="E69" s="118"/>
      <c r="F69" s="118"/>
      <c r="G69" s="118"/>
      <c r="H69" s="118"/>
      <c r="I69" s="118"/>
      <c r="J69" s="118"/>
    </row>
  </sheetData>
  <mergeCells count="3">
    <mergeCell ref="B25:B27"/>
    <mergeCell ref="C6:J6"/>
    <mergeCell ref="B9:B10"/>
  </mergeCells>
  <pageMargins left="0.7" right="0.7" top="0.75" bottom="0.75" header="0.3" footer="0.3"/>
  <pageSetup scale="67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6146" r:id="rId4">
          <objectPr defaultSize="0" autoPict="0" r:id="rId5">
            <anchor moveWithCells="1" sizeWithCells="1">
              <from>
                <xdr:col>0</xdr:col>
                <xdr:colOff>85725</xdr:colOff>
                <xdr:row>0</xdr:row>
                <xdr:rowOff>47625</xdr:rowOff>
              </from>
              <to>
                <xdr:col>1</xdr:col>
                <xdr:colOff>485775</xdr:colOff>
                <xdr:row>3</xdr:row>
                <xdr:rowOff>66675</xdr:rowOff>
              </to>
            </anchor>
          </objectPr>
        </oleObject>
      </mc:Choice>
      <mc:Fallback>
        <oleObject progId="MSPhotoEd.3" shapeId="6146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T45"/>
  <sheetViews>
    <sheetView zoomScaleNormal="100" zoomScaleSheetLayoutView="100" workbookViewId="0">
      <selection activeCell="M3" sqref="M3"/>
    </sheetView>
  </sheetViews>
  <sheetFormatPr defaultRowHeight="12.75" x14ac:dyDescent="0.2"/>
  <cols>
    <col min="1" max="1" width="9.140625" style="46"/>
    <col min="2" max="2" width="10.5703125" style="46" customWidth="1"/>
    <col min="3" max="14" width="8.7109375" style="46" customWidth="1"/>
    <col min="15" max="16384" width="9.140625" style="46"/>
  </cols>
  <sheetData>
    <row r="2" spans="2:20" x14ac:dyDescent="0.2">
      <c r="I2" s="65" t="s">
        <v>323</v>
      </c>
    </row>
    <row r="3" spans="2:20" x14ac:dyDescent="0.2">
      <c r="L3" s="57"/>
      <c r="M3" s="44"/>
      <c r="Q3" s="57"/>
    </row>
    <row r="6" spans="2:20" ht="15" x14ac:dyDescent="0.25">
      <c r="R6" s="42"/>
      <c r="S6" s="42"/>
      <c r="T6" s="42"/>
    </row>
    <row r="7" spans="2:20" ht="15" x14ac:dyDescent="0.25">
      <c r="B7" s="58">
        <v>1.0900000000000001</v>
      </c>
      <c r="C7" s="387" t="s">
        <v>133</v>
      </c>
      <c r="D7" s="387"/>
      <c r="E7" s="387"/>
      <c r="F7" s="387"/>
      <c r="G7" s="387"/>
      <c r="H7" s="387"/>
      <c r="I7" s="387"/>
      <c r="J7" s="387"/>
      <c r="K7" s="387"/>
      <c r="L7" s="387"/>
      <c r="M7" s="47"/>
      <c r="N7" s="47"/>
      <c r="R7" s="42"/>
      <c r="S7" s="42"/>
      <c r="T7" s="42"/>
    </row>
    <row r="8" spans="2:20" ht="15" x14ac:dyDescent="0.25">
      <c r="B8" s="48"/>
      <c r="C8" s="68"/>
      <c r="D8" s="68"/>
      <c r="E8" s="68"/>
      <c r="F8" s="68"/>
      <c r="G8" s="77"/>
      <c r="H8" s="77"/>
      <c r="I8" s="68"/>
      <c r="J8" s="59"/>
      <c r="K8" s="59"/>
      <c r="L8" s="59"/>
      <c r="M8" s="59"/>
      <c r="N8" s="59"/>
      <c r="R8" s="42"/>
      <c r="S8" s="42"/>
      <c r="T8" s="42"/>
    </row>
    <row r="9" spans="2:20" ht="15" x14ac:dyDescent="0.25">
      <c r="B9" s="405" t="s">
        <v>51</v>
      </c>
      <c r="C9" s="407">
        <v>1970</v>
      </c>
      <c r="D9" s="408"/>
      <c r="E9" s="409">
        <v>1979</v>
      </c>
      <c r="F9" s="408"/>
      <c r="G9" s="409">
        <v>1989</v>
      </c>
      <c r="H9" s="408"/>
      <c r="I9" s="214">
        <v>1999</v>
      </c>
      <c r="J9" s="215"/>
      <c r="K9" s="410">
        <v>2010</v>
      </c>
      <c r="L9" s="411"/>
      <c r="M9" s="385">
        <v>2021</v>
      </c>
      <c r="N9" s="385"/>
      <c r="R9" s="42"/>
      <c r="S9" s="42"/>
      <c r="T9" s="42"/>
    </row>
    <row r="10" spans="2:20" s="118" customFormat="1" ht="15" x14ac:dyDescent="0.25">
      <c r="B10" s="406"/>
      <c r="C10" s="216" t="s">
        <v>4</v>
      </c>
      <c r="D10" s="217" t="s">
        <v>5</v>
      </c>
      <c r="E10" s="218" t="s">
        <v>4</v>
      </c>
      <c r="F10" s="217" t="s">
        <v>5</v>
      </c>
      <c r="G10" s="218" t="s">
        <v>4</v>
      </c>
      <c r="H10" s="217" t="s">
        <v>5</v>
      </c>
      <c r="I10" s="218" t="s">
        <v>4</v>
      </c>
      <c r="J10" s="217" t="s">
        <v>5</v>
      </c>
      <c r="K10" s="218" t="s">
        <v>4</v>
      </c>
      <c r="L10" s="217" t="s">
        <v>5</v>
      </c>
      <c r="M10" s="216" t="s">
        <v>4</v>
      </c>
      <c r="N10" s="216" t="s">
        <v>5</v>
      </c>
      <c r="R10" s="42"/>
      <c r="S10" s="42"/>
      <c r="T10" s="42"/>
    </row>
    <row r="11" spans="2:20" ht="15" x14ac:dyDescent="0.25">
      <c r="B11" s="144"/>
      <c r="C11" s="219"/>
      <c r="D11" s="220"/>
      <c r="E11" s="221"/>
      <c r="F11" s="220"/>
      <c r="G11" s="221"/>
      <c r="H11" s="220"/>
      <c r="I11" s="221"/>
      <c r="J11" s="220"/>
      <c r="K11" s="222"/>
      <c r="L11" s="223"/>
      <c r="R11" s="42"/>
      <c r="S11" s="42"/>
      <c r="T11" s="42"/>
    </row>
    <row r="12" spans="2:20" ht="15" x14ac:dyDescent="0.25">
      <c r="B12" s="144" t="s">
        <v>1</v>
      </c>
      <c r="C12" s="224">
        <f>SUM(C14:C35)</f>
        <v>10068</v>
      </c>
      <c r="D12" s="225">
        <f>C12/$C$12*100</f>
        <v>100</v>
      </c>
      <c r="E12" s="226">
        <f>SUM(E14:E35)</f>
        <v>16677</v>
      </c>
      <c r="F12" s="225">
        <f>E12/$E$12*100</f>
        <v>100</v>
      </c>
      <c r="G12" s="226">
        <f>SUM(G14:G35)</f>
        <v>25355</v>
      </c>
      <c r="H12" s="225">
        <f>G12/$G$12*100</f>
        <v>100</v>
      </c>
      <c r="I12" s="226">
        <f>SUM(I14:I35)</f>
        <v>39020</v>
      </c>
      <c r="J12" s="225">
        <f>I12/$I$12*100</f>
        <v>100</v>
      </c>
      <c r="K12" s="226">
        <v>55036</v>
      </c>
      <c r="L12" s="225">
        <f>K12/$K$12*100</f>
        <v>100</v>
      </c>
      <c r="M12" s="224">
        <f>SUM(M14:M35)</f>
        <v>71104.754466639715</v>
      </c>
      <c r="N12" s="227">
        <f>M12/$M$12*100</f>
        <v>100</v>
      </c>
      <c r="R12" s="42"/>
      <c r="S12" s="42"/>
      <c r="T12" s="42"/>
    </row>
    <row r="13" spans="2:20" ht="15" x14ac:dyDescent="0.25">
      <c r="B13" s="144"/>
      <c r="C13" s="219"/>
      <c r="D13" s="228"/>
      <c r="E13" s="221"/>
      <c r="F13" s="228"/>
      <c r="G13" s="221"/>
      <c r="H13" s="228"/>
      <c r="I13" s="221"/>
      <c r="J13" s="228"/>
      <c r="K13" s="229"/>
      <c r="L13" s="228"/>
      <c r="M13" s="230"/>
      <c r="N13" s="231"/>
      <c r="R13" s="42"/>
      <c r="S13" s="42"/>
      <c r="T13" s="42"/>
    </row>
    <row r="14" spans="2:20" ht="15" x14ac:dyDescent="0.25">
      <c r="B14" s="232" t="s">
        <v>81</v>
      </c>
      <c r="C14" s="78">
        <v>1383</v>
      </c>
      <c r="D14" s="228">
        <f>C14/$C$12*100</f>
        <v>13.736591179976163</v>
      </c>
      <c r="E14" s="233">
        <v>1468</v>
      </c>
      <c r="F14" s="228">
        <f>E14/$E$12*100</f>
        <v>8.8025424236973073</v>
      </c>
      <c r="G14" s="233">
        <v>2017</v>
      </c>
      <c r="H14" s="228">
        <f>G14/$G$12*100</f>
        <v>7.9550384539538559</v>
      </c>
      <c r="I14" s="233">
        <v>2740</v>
      </c>
      <c r="J14" s="228">
        <f>I14/$I$12*100</f>
        <v>7.0220399794976931</v>
      </c>
      <c r="K14" s="234">
        <v>3710</v>
      </c>
      <c r="L14" s="228">
        <f>K14/$K$12*100</f>
        <v>6.7410422269060257</v>
      </c>
      <c r="M14" s="235">
        <v>3683.4002163531718</v>
      </c>
      <c r="N14" s="231">
        <f>M14/$M$12*100</f>
        <v>5.1802446179338348</v>
      </c>
      <c r="R14" s="42"/>
      <c r="S14" s="42"/>
      <c r="T14" s="42"/>
    </row>
    <row r="15" spans="2:20" ht="15" x14ac:dyDescent="0.25">
      <c r="B15" s="232" t="s">
        <v>82</v>
      </c>
      <c r="C15" s="78">
        <v>1349</v>
      </c>
      <c r="D15" s="228">
        <f>C15/$C$12*100</f>
        <v>13.398887564560985</v>
      </c>
      <c r="E15" s="233">
        <v>1766</v>
      </c>
      <c r="F15" s="228">
        <f>E15/$E$12*100</f>
        <v>10.589434550578641</v>
      </c>
      <c r="G15" s="233">
        <v>1925</v>
      </c>
      <c r="H15" s="228">
        <f>G15/$G$12*100</f>
        <v>7.5921908893709329</v>
      </c>
      <c r="I15" s="233">
        <v>2713</v>
      </c>
      <c r="J15" s="228">
        <f>I15/$I$12*100</f>
        <v>6.9528446950281904</v>
      </c>
      <c r="K15" s="234">
        <v>3246</v>
      </c>
      <c r="L15" s="228">
        <f>K15/$K$12*100</f>
        <v>5.897957700414274</v>
      </c>
      <c r="M15" s="235">
        <v>3700.2601279852342</v>
      </c>
      <c r="N15" s="231">
        <f t="shared" ref="N15:N35" si="0">M15/$M$12*100</f>
        <v>5.2039559882332327</v>
      </c>
      <c r="R15" s="42"/>
      <c r="S15" s="42"/>
      <c r="T15" s="42"/>
    </row>
    <row r="16" spans="2:20" ht="15" x14ac:dyDescent="0.25">
      <c r="B16" s="232" t="s">
        <v>83</v>
      </c>
      <c r="C16" s="78">
        <v>1150</v>
      </c>
      <c r="D16" s="228">
        <f>C16/$C$12*100</f>
        <v>11.422328168454509</v>
      </c>
      <c r="E16" s="233">
        <v>1620</v>
      </c>
      <c r="F16" s="228">
        <f>E16/$E$12*100</f>
        <v>9.7139773340528865</v>
      </c>
      <c r="G16" s="233">
        <v>1816</v>
      </c>
      <c r="H16" s="228">
        <f>G16/$G$12*100</f>
        <v>7.1622954052455139</v>
      </c>
      <c r="I16" s="233">
        <v>2147</v>
      </c>
      <c r="J16" s="228">
        <f>I16/$I$12*100</f>
        <v>5.5023065094823167</v>
      </c>
      <c r="K16" s="234">
        <v>3012</v>
      </c>
      <c r="L16" s="228">
        <f>K16/$K$12*100</f>
        <v>5.472781452140417</v>
      </c>
      <c r="M16" s="235">
        <v>3931.0074070724754</v>
      </c>
      <c r="N16" s="231">
        <f t="shared" si="0"/>
        <v>5.5284733581588972</v>
      </c>
      <c r="R16" s="42"/>
      <c r="S16" s="42"/>
      <c r="T16" s="42"/>
    </row>
    <row r="17" spans="2:20" ht="15" x14ac:dyDescent="0.25">
      <c r="B17" s="232" t="s">
        <v>69</v>
      </c>
      <c r="C17" s="78">
        <v>959</v>
      </c>
      <c r="D17" s="228">
        <f>C17/$C$12*100</f>
        <v>9.5252284465633696</v>
      </c>
      <c r="E17" s="233">
        <v>1600</v>
      </c>
      <c r="F17" s="228">
        <f>E17/$E$12*100</f>
        <v>9.5940516879534687</v>
      </c>
      <c r="G17" s="233">
        <v>2053</v>
      </c>
      <c r="H17" s="228">
        <f>G17/$G$12*100</f>
        <v>8.0970222835732599</v>
      </c>
      <c r="I17" s="233">
        <v>1950</v>
      </c>
      <c r="J17" s="228">
        <f>I17/$I$12*100</f>
        <v>4.9974372116863144</v>
      </c>
      <c r="K17" s="234">
        <v>2823</v>
      </c>
      <c r="L17" s="228">
        <f>K17/$K$12*100</f>
        <v>5.1293698669961483</v>
      </c>
      <c r="M17" s="235">
        <v>3254.2908903437883</v>
      </c>
      <c r="N17" s="231">
        <f t="shared" si="0"/>
        <v>4.5767556821683524</v>
      </c>
      <c r="R17" s="42"/>
      <c r="S17" s="42"/>
      <c r="T17" s="42"/>
    </row>
    <row r="18" spans="2:20" ht="15" x14ac:dyDescent="0.25">
      <c r="B18" s="232" t="s">
        <v>71</v>
      </c>
      <c r="C18" s="78">
        <v>661</v>
      </c>
      <c r="D18" s="228">
        <f>C18/$C$12*100</f>
        <v>6.5653555820421134</v>
      </c>
      <c r="E18" s="233">
        <v>1533</v>
      </c>
      <c r="F18" s="228">
        <f>E18/$E$12*100</f>
        <v>9.192300773520417</v>
      </c>
      <c r="G18" s="233">
        <v>2274</v>
      </c>
      <c r="H18" s="228">
        <f>G18/$G$12*100</f>
        <v>8.9686452376257151</v>
      </c>
      <c r="I18" s="233">
        <v>2393</v>
      </c>
      <c r="J18" s="228">
        <f>I18/$I$12*100</f>
        <v>6.1327524346488982</v>
      </c>
      <c r="K18" s="234">
        <v>2934</v>
      </c>
      <c r="L18" s="228">
        <f>K18/$K$12*100</f>
        <v>5.3310560360491319</v>
      </c>
      <c r="M18" s="235">
        <v>3551.5132478512805</v>
      </c>
      <c r="N18" s="231">
        <f t="shared" si="0"/>
        <v>4.9947619881277383</v>
      </c>
      <c r="R18" s="42"/>
      <c r="S18" s="42"/>
      <c r="T18" s="42"/>
    </row>
    <row r="19" spans="2:20" ht="15" x14ac:dyDescent="0.25">
      <c r="B19" s="232"/>
      <c r="C19" s="78"/>
      <c r="D19" s="228"/>
      <c r="E19" s="233"/>
      <c r="F19" s="228"/>
      <c r="G19" s="233"/>
      <c r="H19" s="228"/>
      <c r="I19" s="233"/>
      <c r="J19" s="228"/>
      <c r="K19" s="234"/>
      <c r="L19" s="228"/>
      <c r="M19" s="235"/>
      <c r="N19" s="231"/>
      <c r="R19" s="42"/>
      <c r="S19" s="42"/>
      <c r="T19" s="42"/>
    </row>
    <row r="20" spans="2:20" ht="15" x14ac:dyDescent="0.25">
      <c r="B20" s="232" t="s">
        <v>72</v>
      </c>
      <c r="C20" s="78">
        <v>651</v>
      </c>
      <c r="D20" s="228">
        <f>C20/$C$12*100</f>
        <v>6.4660309892729444</v>
      </c>
      <c r="E20" s="233">
        <v>1449</v>
      </c>
      <c r="F20" s="228">
        <f>E20/$E$12*100</f>
        <v>8.6886130599028597</v>
      </c>
      <c r="G20" s="233">
        <v>2867</v>
      </c>
      <c r="H20" s="228">
        <f>G20/$G$12*100</f>
        <v>11.307434431078683</v>
      </c>
      <c r="I20" s="233">
        <v>4361</v>
      </c>
      <c r="J20" s="228">
        <f>I20/$I$12*100</f>
        <v>11.176319835981548</v>
      </c>
      <c r="K20" s="234">
        <v>4990</v>
      </c>
      <c r="L20" s="228">
        <f>K20/$K$12*100</f>
        <v>9.0667926448143028</v>
      </c>
      <c r="M20" s="235">
        <v>5445.0799816355284</v>
      </c>
      <c r="N20" s="231">
        <f t="shared" si="0"/>
        <v>7.6578282598390821</v>
      </c>
      <c r="R20" s="42"/>
      <c r="S20" s="42"/>
      <c r="T20" s="42"/>
    </row>
    <row r="21" spans="2:20" ht="15" x14ac:dyDescent="0.25">
      <c r="B21" s="232" t="s">
        <v>73</v>
      </c>
      <c r="C21" s="78">
        <v>621</v>
      </c>
      <c r="D21" s="228">
        <f>C21/$C$12*100</f>
        <v>6.1680572109654355</v>
      </c>
      <c r="E21" s="233">
        <v>1328</v>
      </c>
      <c r="F21" s="228">
        <f>E21/$E$12*100</f>
        <v>7.9630629010013791</v>
      </c>
      <c r="G21" s="233">
        <v>2711</v>
      </c>
      <c r="H21" s="228">
        <f>G21/$G$12*100</f>
        <v>10.692171169394598</v>
      </c>
      <c r="I21" s="233">
        <v>4895</v>
      </c>
      <c r="J21" s="228">
        <f>I21/$I$12*100</f>
        <v>12.544848795489493</v>
      </c>
      <c r="K21" s="234">
        <v>5862</v>
      </c>
      <c r="L21" s="228">
        <f>K21/$K$12*100</f>
        <v>10.651210117014317</v>
      </c>
      <c r="M21" s="235">
        <v>6776.3665421631049</v>
      </c>
      <c r="N21" s="231">
        <f t="shared" si="0"/>
        <v>9.530117350088565</v>
      </c>
      <c r="R21" s="42"/>
      <c r="S21" s="42"/>
      <c r="T21" s="42"/>
    </row>
    <row r="22" spans="2:20" ht="15" x14ac:dyDescent="0.25">
      <c r="B22" s="232" t="s">
        <v>74</v>
      </c>
      <c r="C22" s="78">
        <v>558</v>
      </c>
      <c r="D22" s="228">
        <f>C22/$C$12*100</f>
        <v>5.5423122765196657</v>
      </c>
      <c r="E22" s="233">
        <v>1055</v>
      </c>
      <c r="F22" s="228">
        <f>E22/$E$12*100</f>
        <v>6.3260778317443185</v>
      </c>
      <c r="G22" s="233">
        <v>2357</v>
      </c>
      <c r="H22" s="228">
        <f>G22/$G$12*100</f>
        <v>9.2959968448037866</v>
      </c>
      <c r="I22" s="233">
        <v>4543</v>
      </c>
      <c r="J22" s="228">
        <f>I22/$I$12*100</f>
        <v>11.642747309072272</v>
      </c>
      <c r="K22" s="234">
        <v>6322</v>
      </c>
      <c r="L22" s="228">
        <f>K22/$K$12*100</f>
        <v>11.487026673450105</v>
      </c>
      <c r="M22" s="235">
        <v>7086.3450875549261</v>
      </c>
      <c r="N22" s="231">
        <f t="shared" si="0"/>
        <v>9.9660636489218639</v>
      </c>
      <c r="R22" s="42"/>
      <c r="S22" s="42"/>
      <c r="T22" s="42"/>
    </row>
    <row r="23" spans="2:20" ht="15" x14ac:dyDescent="0.25">
      <c r="B23" s="232" t="s">
        <v>75</v>
      </c>
      <c r="C23" s="78">
        <v>498</v>
      </c>
      <c r="D23" s="228">
        <f>C23/$C$12*100</f>
        <v>4.9463647199046488</v>
      </c>
      <c r="E23" s="233">
        <v>1031</v>
      </c>
      <c r="F23" s="228">
        <f>E23/$E$12*100</f>
        <v>6.1821670564250164</v>
      </c>
      <c r="G23" s="233">
        <v>1717</v>
      </c>
      <c r="H23" s="228">
        <f>G23/$G$12*100</f>
        <v>6.7718398737921515</v>
      </c>
      <c r="I23" s="233">
        <v>3585</v>
      </c>
      <c r="J23" s="228">
        <f>I23/$I$12*100</f>
        <v>9.1875961045617629</v>
      </c>
      <c r="K23" s="234">
        <v>5967</v>
      </c>
      <c r="L23" s="228">
        <f>K23/$K$12*100</f>
        <v>10.841994330983356</v>
      </c>
      <c r="M23" s="235">
        <v>6869.5943661946412</v>
      </c>
      <c r="N23" s="231">
        <f t="shared" si="0"/>
        <v>9.6612306978960945</v>
      </c>
      <c r="R23" s="42"/>
      <c r="S23" s="42"/>
      <c r="T23" s="42"/>
    </row>
    <row r="24" spans="2:20" ht="15" x14ac:dyDescent="0.25">
      <c r="B24" s="232" t="s">
        <v>76</v>
      </c>
      <c r="C24" s="78">
        <v>402</v>
      </c>
      <c r="D24" s="228">
        <f>C24/$C$12*100</f>
        <v>3.9928486293206196</v>
      </c>
      <c r="E24" s="233">
        <v>846</v>
      </c>
      <c r="F24" s="228">
        <f>E24/$E$12*100</f>
        <v>5.0728548300053964</v>
      </c>
      <c r="G24" s="233">
        <v>1327</v>
      </c>
      <c r="H24" s="228">
        <f>G24/$G$12*100</f>
        <v>5.233681719581937</v>
      </c>
      <c r="I24" s="233">
        <v>2944</v>
      </c>
      <c r="J24" s="228">
        <f>I24/$I$12*100</f>
        <v>7.5448487954894921</v>
      </c>
      <c r="K24" s="234">
        <v>5016</v>
      </c>
      <c r="L24" s="228">
        <f>K24/$K$12*100</f>
        <v>9.1140344501780657</v>
      </c>
      <c r="M24" s="235">
        <v>6559.186416239766</v>
      </c>
      <c r="N24" s="231">
        <f t="shared" si="0"/>
        <v>9.2246804949128194</v>
      </c>
      <c r="R24" s="42"/>
      <c r="S24" s="42"/>
      <c r="T24" s="42"/>
    </row>
    <row r="25" spans="2:20" x14ac:dyDescent="0.2">
      <c r="B25" s="232"/>
      <c r="C25" s="78"/>
      <c r="D25" s="228"/>
      <c r="E25" s="233"/>
      <c r="F25" s="228"/>
      <c r="G25" s="233"/>
      <c r="H25" s="228"/>
      <c r="I25" s="233"/>
      <c r="J25" s="228"/>
      <c r="K25" s="234"/>
      <c r="L25" s="228"/>
      <c r="M25" s="235"/>
      <c r="N25" s="231"/>
    </row>
    <row r="26" spans="2:20" ht="15" x14ac:dyDescent="0.25">
      <c r="B26" s="232" t="s">
        <v>84</v>
      </c>
      <c r="C26" s="78">
        <v>390</v>
      </c>
      <c r="D26" s="228">
        <f>C26/$C$12*100</f>
        <v>3.8736591179976161</v>
      </c>
      <c r="E26" s="233">
        <v>758</v>
      </c>
      <c r="F26" s="228">
        <f>E26/$E$12*100</f>
        <v>4.5451819871679557</v>
      </c>
      <c r="G26" s="233">
        <v>1126</v>
      </c>
      <c r="H26" s="228">
        <f>G26/$G$12*100</f>
        <v>4.440938670873595</v>
      </c>
      <c r="I26" s="233">
        <v>2091</v>
      </c>
      <c r="J26" s="228">
        <f>I26/$I$12*100</f>
        <v>5.3587903639159409</v>
      </c>
      <c r="K26" s="234">
        <v>3784</v>
      </c>
      <c r="L26" s="228">
        <f>K26/$K$12*100</f>
        <v>6.8754996729413476</v>
      </c>
      <c r="M26" s="235">
        <v>5939.4520825792879</v>
      </c>
      <c r="N26" s="231">
        <f t="shared" si="0"/>
        <v>8.3531011774548851</v>
      </c>
      <c r="R26" s="42"/>
      <c r="S26" s="42"/>
      <c r="T26" s="42"/>
    </row>
    <row r="27" spans="2:20" ht="15" x14ac:dyDescent="0.25">
      <c r="B27" s="232" t="s">
        <v>85</v>
      </c>
      <c r="C27" s="78">
        <v>372</v>
      </c>
      <c r="D27" s="228">
        <f>C27/$C$12*100</f>
        <v>3.6948748510131106</v>
      </c>
      <c r="E27" s="233">
        <v>584</v>
      </c>
      <c r="F27" s="228">
        <f>E27/$E$12*100</f>
        <v>3.5018288661030161</v>
      </c>
      <c r="G27" s="233">
        <v>878</v>
      </c>
      <c r="H27" s="228">
        <f>G27/$G$12*100</f>
        <v>3.4628278446065863</v>
      </c>
      <c r="I27" s="233">
        <v>1356</v>
      </c>
      <c r="J27" s="228">
        <f>I27/$I$12*100</f>
        <v>3.4751409533572533</v>
      </c>
      <c r="K27" s="234">
        <v>2657</v>
      </c>
      <c r="L27" s="228">
        <f>K27/$K$12*100</f>
        <v>4.8277491096736682</v>
      </c>
      <c r="M27" s="235">
        <v>4832.9159689344415</v>
      </c>
      <c r="N27" s="231">
        <f t="shared" si="0"/>
        <v>6.7968956579435273</v>
      </c>
      <c r="R27" s="42"/>
      <c r="S27" s="42"/>
      <c r="T27" s="42"/>
    </row>
    <row r="28" spans="2:20" ht="15" x14ac:dyDescent="0.25">
      <c r="B28" s="232" t="s">
        <v>86</v>
      </c>
      <c r="C28" s="78">
        <v>316</v>
      </c>
      <c r="D28" s="228">
        <f>C28/$C$12*100</f>
        <v>3.1386571315057608</v>
      </c>
      <c r="E28" s="233">
        <v>476</v>
      </c>
      <c r="F28" s="228">
        <f>E28/$E$12*100</f>
        <v>2.8542303771661568</v>
      </c>
      <c r="G28" s="233">
        <v>686</v>
      </c>
      <c r="H28" s="228">
        <f>G28/$G$12*100</f>
        <v>2.7055807533030962</v>
      </c>
      <c r="I28" s="233">
        <v>1038</v>
      </c>
      <c r="J28" s="228">
        <f>I28/$I$12*100</f>
        <v>2.6601742696053305</v>
      </c>
      <c r="K28" s="234">
        <v>1727</v>
      </c>
      <c r="L28" s="228">
        <f>K28/$K$12*100</f>
        <v>3.137946071662185</v>
      </c>
      <c r="M28" s="235">
        <v>3358.1064421384017</v>
      </c>
      <c r="N28" s="231">
        <f t="shared" si="0"/>
        <v>4.7227593531933616</v>
      </c>
      <c r="R28" s="42"/>
      <c r="S28" s="42"/>
      <c r="T28" s="42"/>
    </row>
    <row r="29" spans="2:20" ht="15" x14ac:dyDescent="0.25">
      <c r="B29" s="236" t="s">
        <v>87</v>
      </c>
      <c r="C29" s="78">
        <v>252</v>
      </c>
      <c r="D29" s="228">
        <f>C29/$C$12*100</f>
        <v>2.5029797377830754</v>
      </c>
      <c r="E29" s="233">
        <v>439</v>
      </c>
      <c r="F29" s="228">
        <f>E29/$E$12*100</f>
        <v>2.6323679318822331</v>
      </c>
      <c r="G29" s="233">
        <v>521</v>
      </c>
      <c r="H29" s="228">
        <f>G29/$G$12*100</f>
        <v>2.0548215342141591</v>
      </c>
      <c r="I29" s="233">
        <v>797</v>
      </c>
      <c r="J29" s="228">
        <f>I29/$I$12*100</f>
        <v>2.0425422860071758</v>
      </c>
      <c r="K29" s="234">
        <v>1076</v>
      </c>
      <c r="L29" s="228">
        <f>K29/$K$12*100</f>
        <v>1.9550839450541462</v>
      </c>
      <c r="M29" s="235">
        <v>2214.6650248734682</v>
      </c>
      <c r="N29" s="231">
        <f t="shared" si="0"/>
        <v>3.1146511108656236</v>
      </c>
      <c r="R29" s="42"/>
      <c r="S29" s="42"/>
      <c r="T29" s="42"/>
    </row>
    <row r="30" spans="2:20" ht="15" x14ac:dyDescent="0.25">
      <c r="B30" s="236" t="s">
        <v>77</v>
      </c>
      <c r="C30" s="78">
        <v>205</v>
      </c>
      <c r="D30" s="228">
        <f>C30/$C$12*100</f>
        <v>2.036154151767978</v>
      </c>
      <c r="E30" s="233">
        <v>299</v>
      </c>
      <c r="F30" s="228">
        <f>E30/$E$12*100</f>
        <v>1.7928884091863044</v>
      </c>
      <c r="G30" s="233">
        <v>412</v>
      </c>
      <c r="H30" s="228">
        <f>G30/$G$12*100</f>
        <v>1.6249260500887399</v>
      </c>
      <c r="I30" s="233">
        <v>563</v>
      </c>
      <c r="J30" s="228">
        <f>I30/$I$12*100</f>
        <v>1.4428498206048179</v>
      </c>
      <c r="K30" s="234">
        <v>732</v>
      </c>
      <c r="L30" s="228">
        <f>K30/$K$12*100</f>
        <v>1.3300385202412965</v>
      </c>
      <c r="M30" s="235">
        <v>1436.6689489729752</v>
      </c>
      <c r="N30" s="231">
        <f t="shared" si="0"/>
        <v>2.0204963222916668</v>
      </c>
      <c r="R30" s="42"/>
      <c r="S30" s="42"/>
      <c r="T30" s="42"/>
    </row>
    <row r="31" spans="2:20" x14ac:dyDescent="0.2">
      <c r="B31" s="236"/>
      <c r="C31" s="78"/>
      <c r="D31" s="228"/>
      <c r="E31" s="233"/>
      <c r="F31" s="228"/>
      <c r="G31" s="233"/>
      <c r="H31" s="228"/>
      <c r="I31" s="233"/>
      <c r="J31" s="228"/>
      <c r="K31" s="234"/>
      <c r="L31" s="228"/>
      <c r="M31" s="235"/>
      <c r="N31" s="231"/>
    </row>
    <row r="32" spans="2:20" x14ac:dyDescent="0.2">
      <c r="B32" s="236" t="s">
        <v>78</v>
      </c>
      <c r="C32" s="78">
        <v>138</v>
      </c>
      <c r="D32" s="228">
        <f>C32/$C$12*100</f>
        <v>1.3706793802145412</v>
      </c>
      <c r="E32" s="233">
        <v>213</v>
      </c>
      <c r="F32" s="228">
        <f>E32/$E$12*100</f>
        <v>1.2772081309588057</v>
      </c>
      <c r="G32" s="233">
        <v>307</v>
      </c>
      <c r="H32" s="228">
        <f>G32/$G$12*100</f>
        <v>1.2108065470321436</v>
      </c>
      <c r="I32" s="233">
        <v>377</v>
      </c>
      <c r="J32" s="228">
        <f>I32/$I$12*100</f>
        <v>0.96617119425935416</v>
      </c>
      <c r="K32" s="234">
        <v>534</v>
      </c>
      <c r="L32" s="228">
        <f>K32/$K$12*100</f>
        <v>0.97027400247110973</v>
      </c>
      <c r="M32" s="235">
        <v>907.35561693269528</v>
      </c>
      <c r="N32" s="231">
        <f t="shared" si="0"/>
        <v>1.2760829057618084</v>
      </c>
    </row>
    <row r="33" spans="2:14" x14ac:dyDescent="0.2">
      <c r="B33" s="236" t="s">
        <v>79</v>
      </c>
      <c r="C33" s="78">
        <v>94</v>
      </c>
      <c r="D33" s="228">
        <f>C33/$C$12*100</f>
        <v>0.93365117203019465</v>
      </c>
      <c r="E33" s="233">
        <v>118</v>
      </c>
      <c r="F33" s="228">
        <f>E33/$E$12*100</f>
        <v>0.70756131198656835</v>
      </c>
      <c r="G33" s="233">
        <v>191</v>
      </c>
      <c r="H33" s="228">
        <f>G33/$G$12*100</f>
        <v>0.75330309603628476</v>
      </c>
      <c r="I33" s="233">
        <v>255</v>
      </c>
      <c r="J33" s="228">
        <f>I33/$I$12*100</f>
        <v>0.65351101998974881</v>
      </c>
      <c r="K33" s="234">
        <v>365</v>
      </c>
      <c r="L33" s="228">
        <f>K33/$K$12*100</f>
        <v>0.66320226760665746</v>
      </c>
      <c r="M33" s="235">
        <v>527.08784851421444</v>
      </c>
      <c r="N33" s="231">
        <f t="shared" si="0"/>
        <v>0.74128355054162898</v>
      </c>
    </row>
    <row r="34" spans="2:14" x14ac:dyDescent="0.2">
      <c r="B34" s="236" t="s">
        <v>80</v>
      </c>
      <c r="C34" s="78">
        <v>69</v>
      </c>
      <c r="D34" s="228">
        <f>C34/$C$12*100</f>
        <v>0.68533969010727058</v>
      </c>
      <c r="E34" s="233">
        <v>94</v>
      </c>
      <c r="F34" s="228">
        <f>E34/$E$12*100</f>
        <v>0.56365053666726628</v>
      </c>
      <c r="G34" s="233">
        <v>170</v>
      </c>
      <c r="H34" s="228">
        <f>G34/$G$12*100</f>
        <v>0.67047919542496548</v>
      </c>
      <c r="I34" s="233">
        <v>202</v>
      </c>
      <c r="J34" s="228">
        <f>I34/$I$12*100</f>
        <v>0.5176832393644285</v>
      </c>
      <c r="K34" s="234">
        <v>278</v>
      </c>
      <c r="L34" s="228">
        <f>K34/$K$12*100</f>
        <v>0.50512391888945418</v>
      </c>
      <c r="M34" s="235">
        <v>516.27005142883775</v>
      </c>
      <c r="N34" s="231">
        <f t="shared" si="0"/>
        <v>0.72606966341618784</v>
      </c>
    </row>
    <row r="35" spans="2:14" x14ac:dyDescent="0.2">
      <c r="B35" s="187" t="s">
        <v>88</v>
      </c>
      <c r="C35" s="237" t="s">
        <v>70</v>
      </c>
      <c r="D35" s="238" t="s">
        <v>70</v>
      </c>
      <c r="E35" s="239" t="s">
        <v>70</v>
      </c>
      <c r="F35" s="238" t="s">
        <v>70</v>
      </c>
      <c r="G35" s="239" t="s">
        <v>70</v>
      </c>
      <c r="H35" s="238" t="s">
        <v>70</v>
      </c>
      <c r="I35" s="240">
        <v>70</v>
      </c>
      <c r="J35" s="238">
        <f>I35/$I$12*100</f>
        <v>0.17939518195797027</v>
      </c>
      <c r="K35" s="239" t="s">
        <v>70</v>
      </c>
      <c r="L35" s="238">
        <f>-K40</f>
        <v>0</v>
      </c>
      <c r="M35" s="241">
        <v>515.18819887146287</v>
      </c>
      <c r="N35" s="242">
        <f t="shared" si="0"/>
        <v>0.72454817225080814</v>
      </c>
    </row>
    <row r="37" spans="2:14" x14ac:dyDescent="0.2">
      <c r="B37" s="55" t="s">
        <v>38</v>
      </c>
      <c r="C37" s="79"/>
      <c r="D37" s="79"/>
      <c r="E37" s="243"/>
      <c r="F37" s="243"/>
      <c r="G37" s="80"/>
      <c r="H37" s="80"/>
      <c r="I37" s="79"/>
      <c r="J37" s="79"/>
      <c r="K37" s="79"/>
      <c r="L37" s="79"/>
      <c r="M37" s="79"/>
      <c r="N37" s="79"/>
    </row>
    <row r="45" spans="2:14" x14ac:dyDescent="0.2"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</row>
  </sheetData>
  <mergeCells count="7">
    <mergeCell ref="M9:N9"/>
    <mergeCell ref="C7:L7"/>
    <mergeCell ref="B9:B10"/>
    <mergeCell ref="C9:D9"/>
    <mergeCell ref="E9:F9"/>
    <mergeCell ref="G9:H9"/>
    <mergeCell ref="K9:L9"/>
  </mergeCells>
  <pageMargins left="0.7" right="0.7" top="0.75" bottom="0.75" header="0.3" footer="0.3"/>
  <pageSetup scale="72" orientation="portrait" r:id="rId1"/>
  <ignoredErrors>
    <ignoredError sqref="D12:L12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18433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38100</xdr:rowOff>
              </from>
              <to>
                <xdr:col>1</xdr:col>
                <xdr:colOff>209550</xdr:colOff>
                <xdr:row>3</xdr:row>
                <xdr:rowOff>28575</xdr:rowOff>
              </to>
            </anchor>
          </objectPr>
        </oleObject>
      </mc:Choice>
      <mc:Fallback>
        <oleObject progId="MSPhotoEd.3" shapeId="18433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Q53"/>
  <sheetViews>
    <sheetView zoomScaleNormal="100" zoomScaleSheetLayoutView="100" workbookViewId="0">
      <selection activeCell="M2" sqref="M2"/>
    </sheetView>
  </sheetViews>
  <sheetFormatPr defaultRowHeight="12.75" x14ac:dyDescent="0.2"/>
  <cols>
    <col min="1" max="2" width="9.140625" style="46"/>
    <col min="3" max="3" width="6.42578125" style="46" customWidth="1"/>
    <col min="4" max="7" width="10.28515625" style="46" customWidth="1"/>
    <col min="8" max="12" width="9.42578125" style="46" customWidth="1"/>
    <col min="13" max="13" width="9.42578125" style="59" bestFit="1" customWidth="1"/>
    <col min="14" max="14" width="11.140625" style="46" customWidth="1"/>
    <col min="15" max="16384" width="9.140625" style="46"/>
  </cols>
  <sheetData>
    <row r="3" spans="2:17" x14ac:dyDescent="0.2">
      <c r="I3" s="65" t="s">
        <v>323</v>
      </c>
      <c r="J3" s="65"/>
      <c r="K3" s="44"/>
      <c r="L3" s="44"/>
      <c r="M3" s="50"/>
      <c r="N3" s="57"/>
      <c r="P3" s="57"/>
    </row>
    <row r="7" spans="2:17" ht="25.5" customHeight="1" x14ac:dyDescent="0.25">
      <c r="B7" s="86">
        <v>1.1000000000000001</v>
      </c>
      <c r="C7" s="415" t="s">
        <v>135</v>
      </c>
      <c r="D7" s="415"/>
      <c r="E7" s="415"/>
      <c r="F7" s="415"/>
      <c r="G7" s="415"/>
      <c r="H7" s="415"/>
      <c r="I7" s="415"/>
      <c r="J7" s="415"/>
      <c r="K7" s="415"/>
      <c r="L7" s="415"/>
      <c r="M7" s="42"/>
      <c r="N7" s="42"/>
      <c r="O7" s="47"/>
    </row>
    <row r="9" spans="2:17" ht="25.5" customHeight="1" x14ac:dyDescent="0.2">
      <c r="B9" s="416" t="s">
        <v>0</v>
      </c>
      <c r="C9" s="417"/>
      <c r="D9" s="419">
        <v>1989</v>
      </c>
      <c r="E9" s="419">
        <v>1999</v>
      </c>
      <c r="F9" s="419">
        <v>2010</v>
      </c>
      <c r="G9" s="419">
        <v>2021</v>
      </c>
      <c r="H9" s="412" t="s">
        <v>40</v>
      </c>
      <c r="I9" s="413"/>
      <c r="J9" s="414"/>
      <c r="K9" s="412" t="s">
        <v>39</v>
      </c>
      <c r="L9" s="413"/>
      <c r="M9" s="413"/>
    </row>
    <row r="10" spans="2:17" s="118" customFormat="1" x14ac:dyDescent="0.2">
      <c r="B10" s="418"/>
      <c r="C10" s="418"/>
      <c r="D10" s="420"/>
      <c r="E10" s="420"/>
      <c r="F10" s="420"/>
      <c r="G10" s="420"/>
      <c r="H10" s="244" t="s">
        <v>109</v>
      </c>
      <c r="I10" s="245" t="s">
        <v>110</v>
      </c>
      <c r="J10" s="246" t="s">
        <v>134</v>
      </c>
      <c r="K10" s="244" t="s">
        <v>109</v>
      </c>
      <c r="L10" s="245" t="s">
        <v>110</v>
      </c>
      <c r="M10" s="247" t="s">
        <v>134</v>
      </c>
    </row>
    <row r="11" spans="2:17" x14ac:dyDescent="0.2">
      <c r="B11" s="59"/>
      <c r="C11" s="59"/>
      <c r="D11" s="59"/>
      <c r="E11" s="59"/>
      <c r="F11" s="59"/>
      <c r="G11" s="59"/>
      <c r="H11" s="248"/>
      <c r="I11" s="59"/>
      <c r="J11" s="248"/>
      <c r="K11" s="248"/>
      <c r="L11" s="222"/>
      <c r="M11" s="222"/>
    </row>
    <row r="12" spans="2:17" ht="15" x14ac:dyDescent="0.25">
      <c r="B12" s="125" t="s">
        <v>21</v>
      </c>
      <c r="C12" s="59"/>
      <c r="D12" s="53">
        <v>25355</v>
      </c>
      <c r="E12" s="53">
        <v>39020</v>
      </c>
      <c r="F12" s="53">
        <f>SUM(F14:F24)</f>
        <v>55036</v>
      </c>
      <c r="G12" s="53">
        <v>71104.754466629631</v>
      </c>
      <c r="H12" s="249">
        <v>53.894695326365614</v>
      </c>
      <c r="I12" s="126">
        <f>(F12/E12-1)*100</f>
        <v>41.045617631983603</v>
      </c>
      <c r="J12" s="249">
        <f>(G12/F12-1)*100</f>
        <v>29.196806575022947</v>
      </c>
      <c r="K12" s="249">
        <f>((E12/D12)^(1/10)-1)*100</f>
        <v>4.4052565819573397</v>
      </c>
      <c r="L12" s="250">
        <f>((F12/E12)^(1/11)-1)*100</f>
        <v>3.1758713185661369</v>
      </c>
      <c r="M12" s="250">
        <f>((G12/F12)^(1/11)-1)*100</f>
        <v>2.3561160681992099</v>
      </c>
      <c r="O12" s="42"/>
      <c r="P12" s="42"/>
      <c r="Q12" s="42"/>
    </row>
    <row r="13" spans="2:17" ht="15" x14ac:dyDescent="0.25">
      <c r="B13" s="59"/>
      <c r="C13" s="59"/>
      <c r="D13" s="53"/>
      <c r="E13" s="53"/>
      <c r="F13" s="59"/>
      <c r="G13" s="59"/>
      <c r="H13" s="249"/>
      <c r="I13" s="126"/>
      <c r="J13" s="249"/>
      <c r="K13" s="249"/>
      <c r="L13" s="250"/>
      <c r="M13" s="250"/>
      <c r="O13" s="42"/>
      <c r="P13" s="42"/>
      <c r="Q13" s="42"/>
    </row>
    <row r="14" spans="2:17" ht="15" x14ac:dyDescent="0.25">
      <c r="B14" s="125" t="s">
        <v>6</v>
      </c>
      <c r="C14" s="59"/>
      <c r="D14" s="53">
        <v>12921</v>
      </c>
      <c r="E14" s="53">
        <v>20626</v>
      </c>
      <c r="F14" s="53">
        <v>28089</v>
      </c>
      <c r="G14" s="53">
        <v>34920.729049173249</v>
      </c>
      <c r="H14" s="249">
        <v>59.631607460722847</v>
      </c>
      <c r="I14" s="126">
        <f>(F14/E14-1)*100</f>
        <v>36.18248812178804</v>
      </c>
      <c r="J14" s="249">
        <f>(G14/F14-1)*100</f>
        <v>24.321723981534582</v>
      </c>
      <c r="K14" s="249">
        <f>((E14/D14)^(1/10)-1)*100</f>
        <v>4.7880813772801067</v>
      </c>
      <c r="L14" s="250">
        <f t="shared" ref="L14:L24" si="0">((F14/E14)^(1/11)-1)*100</f>
        <v>2.8472875400996633</v>
      </c>
      <c r="M14" s="250">
        <f>((G14/F14)^(1/11)-1)*100</f>
        <v>1.9988285605341716</v>
      </c>
      <c r="O14" s="42"/>
      <c r="P14" s="42"/>
      <c r="Q14" s="42"/>
    </row>
    <row r="15" spans="2:17" ht="15" x14ac:dyDescent="0.25">
      <c r="B15" s="59"/>
      <c r="C15" s="59"/>
      <c r="D15" s="53"/>
      <c r="E15" s="53"/>
      <c r="F15" s="59"/>
      <c r="G15" s="59"/>
      <c r="H15" s="249"/>
      <c r="I15" s="126"/>
      <c r="J15" s="249"/>
      <c r="K15" s="249"/>
      <c r="L15" s="250"/>
      <c r="M15" s="250"/>
      <c r="O15" s="42"/>
      <c r="P15" s="42"/>
      <c r="Q15" s="42"/>
    </row>
    <row r="16" spans="2:17" ht="15" x14ac:dyDescent="0.25">
      <c r="B16" s="125" t="s">
        <v>7</v>
      </c>
      <c r="C16" s="59"/>
      <c r="D16" s="53">
        <v>5632</v>
      </c>
      <c r="E16" s="53">
        <v>8243</v>
      </c>
      <c r="F16" s="53">
        <v>11222</v>
      </c>
      <c r="G16" s="53">
        <v>15334.695777726141</v>
      </c>
      <c r="H16" s="249">
        <v>46.360085227272727</v>
      </c>
      <c r="I16" s="126">
        <f>(F16/E16-1)*100</f>
        <v>36.1397549435885</v>
      </c>
      <c r="J16" s="249">
        <f>(G16/F16-1)*100</f>
        <v>36.648509871022462</v>
      </c>
      <c r="K16" s="249">
        <f>((E16/D16)^(1/10)-1)*100</f>
        <v>3.8824695520852659</v>
      </c>
      <c r="L16" s="250">
        <f t="shared" si="0"/>
        <v>2.8443532297928176</v>
      </c>
      <c r="M16" s="250">
        <f>((G16/F16)^(1/11)-1)*100</f>
        <v>2.8792330988676618</v>
      </c>
      <c r="O16" s="42"/>
      <c r="P16" s="42"/>
      <c r="Q16" s="42"/>
    </row>
    <row r="17" spans="2:17" ht="15" x14ac:dyDescent="0.25">
      <c r="B17" s="59"/>
      <c r="C17" s="59"/>
      <c r="D17" s="53"/>
      <c r="E17" s="53"/>
      <c r="F17" s="53"/>
      <c r="G17" s="53"/>
      <c r="H17" s="249"/>
      <c r="I17" s="126"/>
      <c r="J17" s="249"/>
      <c r="K17" s="249"/>
      <c r="L17" s="250"/>
      <c r="M17" s="250"/>
      <c r="O17" s="42"/>
      <c r="P17" s="42"/>
      <c r="Q17" s="42"/>
    </row>
    <row r="18" spans="2:17" ht="15" x14ac:dyDescent="0.25">
      <c r="B18" s="125" t="s">
        <v>8</v>
      </c>
      <c r="C18" s="59"/>
      <c r="D18" s="53">
        <v>3407</v>
      </c>
      <c r="E18" s="53">
        <v>5764</v>
      </c>
      <c r="F18" s="53">
        <v>10543</v>
      </c>
      <c r="G18" s="53">
        <v>14844.96640278966</v>
      </c>
      <c r="H18" s="249">
        <v>69.181097739947162</v>
      </c>
      <c r="I18" s="126">
        <f>(F18/E18-1)*100</f>
        <v>82.911172796668978</v>
      </c>
      <c r="J18" s="249">
        <f>(G18/F18-1)*100</f>
        <v>40.804006476236943</v>
      </c>
      <c r="K18" s="249">
        <f>((E18/D18)^(1/10)-1)*100</f>
        <v>5.3986829115607371</v>
      </c>
      <c r="L18" s="250">
        <f t="shared" si="0"/>
        <v>5.6428286795596527</v>
      </c>
      <c r="M18" s="250">
        <f>((G18/F18)^(1/11)-1)*100</f>
        <v>3.159791496429265</v>
      </c>
      <c r="O18" s="42"/>
      <c r="P18" s="42"/>
      <c r="Q18" s="42"/>
    </row>
    <row r="19" spans="2:17" ht="15" x14ac:dyDescent="0.25">
      <c r="B19" s="59"/>
      <c r="C19" s="59"/>
      <c r="D19" s="53"/>
      <c r="E19" s="53"/>
      <c r="F19" s="53"/>
      <c r="G19" s="53"/>
      <c r="H19" s="249"/>
      <c r="I19" s="126"/>
      <c r="J19" s="249"/>
      <c r="K19" s="249"/>
      <c r="L19" s="250"/>
      <c r="M19" s="250"/>
      <c r="O19" s="42"/>
      <c r="P19" s="42"/>
      <c r="Q19" s="42"/>
    </row>
    <row r="20" spans="2:17" x14ac:dyDescent="0.2">
      <c r="B20" s="125" t="s">
        <v>10</v>
      </c>
      <c r="C20" s="59"/>
      <c r="D20" s="53">
        <v>1064</v>
      </c>
      <c r="E20" s="53">
        <v>1371</v>
      </c>
      <c r="F20" s="53">
        <v>1407</v>
      </c>
      <c r="G20" s="53">
        <v>1901.5902136878963</v>
      </c>
      <c r="H20" s="249">
        <v>28.853383458646608</v>
      </c>
      <c r="I20" s="126">
        <f>(F20/E20-1)*100</f>
        <v>2.6258205689277947</v>
      </c>
      <c r="J20" s="249">
        <f>(G20/F20-1)*100</f>
        <v>35.152111847043102</v>
      </c>
      <c r="K20" s="249">
        <f>((E20/D20)^(1/10)-1)*100</f>
        <v>2.5674557452516789</v>
      </c>
      <c r="L20" s="250">
        <f t="shared" si="0"/>
        <v>0.23590853233723674</v>
      </c>
      <c r="M20" s="250">
        <f>((G20/F20)^(1/11)-1)*100</f>
        <v>2.7763014929800933</v>
      </c>
    </row>
    <row r="21" spans="2:17" x14ac:dyDescent="0.2">
      <c r="B21" s="59"/>
      <c r="C21" s="59"/>
      <c r="D21" s="53"/>
      <c r="E21" s="53"/>
      <c r="F21" s="53"/>
      <c r="G21" s="53"/>
      <c r="H21" s="249"/>
      <c r="I21" s="126"/>
      <c r="J21" s="249"/>
      <c r="K21" s="249"/>
      <c r="L21" s="250"/>
      <c r="M21" s="250"/>
    </row>
    <row r="22" spans="2:17" x14ac:dyDescent="0.2">
      <c r="B22" s="125" t="s">
        <v>9</v>
      </c>
      <c r="C22" s="59"/>
      <c r="D22" s="53">
        <v>857</v>
      </c>
      <c r="E22" s="53">
        <v>1079</v>
      </c>
      <c r="F22" s="53">
        <v>1479</v>
      </c>
      <c r="G22" s="53">
        <v>1845.9353191343514</v>
      </c>
      <c r="H22" s="249">
        <v>25.904317386231046</v>
      </c>
      <c r="I22" s="126">
        <f>(F22/E22-1)*100</f>
        <v>37.071362372567187</v>
      </c>
      <c r="J22" s="249">
        <f>(G22/F22-1)*100</f>
        <v>24.809690272775619</v>
      </c>
      <c r="K22" s="249">
        <f>((E22/D22)^(1/10)-1)*100</f>
        <v>2.3302563938117027</v>
      </c>
      <c r="L22" s="250">
        <f t="shared" si="0"/>
        <v>2.9081338375659183</v>
      </c>
      <c r="M22" s="250">
        <f>((G22/F22)^(1/11)-1)*100</f>
        <v>2.0351590887070836</v>
      </c>
    </row>
    <row r="23" spans="2:17" x14ac:dyDescent="0.2">
      <c r="B23" s="59"/>
      <c r="C23" s="59"/>
      <c r="D23" s="53"/>
      <c r="E23" s="53"/>
      <c r="F23" s="53"/>
      <c r="G23" s="53"/>
      <c r="H23" s="249"/>
      <c r="I23" s="126"/>
      <c r="J23" s="249"/>
      <c r="K23" s="249"/>
      <c r="L23" s="250"/>
      <c r="M23" s="250"/>
    </row>
    <row r="24" spans="2:17" x14ac:dyDescent="0.2">
      <c r="B24" s="125" t="s">
        <v>11</v>
      </c>
      <c r="C24" s="59"/>
      <c r="D24" s="53">
        <v>1474</v>
      </c>
      <c r="E24" s="53">
        <v>1937</v>
      </c>
      <c r="F24" s="53">
        <v>2296</v>
      </c>
      <c r="G24" s="53">
        <v>2256.8377041132494</v>
      </c>
      <c r="H24" s="249">
        <v>31.411126187245596</v>
      </c>
      <c r="I24" s="126">
        <f>(F24/E24-1)*100</f>
        <v>18.53381517811048</v>
      </c>
      <c r="J24" s="249">
        <f>(G24/F24-1)*100</f>
        <v>-1.7056749079595201</v>
      </c>
      <c r="K24" s="249">
        <f>((E24/D24)^(1/10)-1)*100</f>
        <v>2.7692562990437875</v>
      </c>
      <c r="L24" s="250">
        <f t="shared" si="0"/>
        <v>1.5577178311830808</v>
      </c>
      <c r="M24" s="250">
        <f>((G24/F24)^(1/11)-1)*100</f>
        <v>-0.15627676957160608</v>
      </c>
    </row>
    <row r="25" spans="2:17" x14ac:dyDescent="0.2">
      <c r="B25" s="68"/>
      <c r="C25" s="68"/>
      <c r="D25" s="68"/>
      <c r="E25" s="68"/>
      <c r="F25" s="68"/>
      <c r="G25" s="68"/>
      <c r="H25" s="251"/>
      <c r="I25" s="68"/>
      <c r="J25" s="251"/>
      <c r="K25" s="251"/>
      <c r="L25" s="252"/>
      <c r="M25" s="252"/>
    </row>
    <row r="26" spans="2:17" x14ac:dyDescent="0.2"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</row>
    <row r="27" spans="2:17" x14ac:dyDescent="0.2">
      <c r="B27" s="66" t="s">
        <v>41</v>
      </c>
    </row>
    <row r="28" spans="2:17" x14ac:dyDescent="0.2">
      <c r="B28" s="46" t="s">
        <v>42</v>
      </c>
    </row>
    <row r="29" spans="2:17" x14ac:dyDescent="0.2">
      <c r="B29" s="230"/>
    </row>
    <row r="30" spans="2:17" x14ac:dyDescent="0.2">
      <c r="B30" s="55" t="s">
        <v>38</v>
      </c>
    </row>
    <row r="50" spans="1:16" x14ac:dyDescent="0.2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81"/>
      <c r="N50" s="76"/>
    </row>
    <row r="51" spans="1:16" x14ac:dyDescent="0.2"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</row>
    <row r="53" spans="1:16" ht="12.75" customHeight="1" x14ac:dyDescent="0.2">
      <c r="O53" s="76"/>
      <c r="P53" s="76"/>
    </row>
  </sheetData>
  <mergeCells count="8">
    <mergeCell ref="H9:J9"/>
    <mergeCell ref="K9:M9"/>
    <mergeCell ref="C7:L7"/>
    <mergeCell ref="B9:C10"/>
    <mergeCell ref="D9:D10"/>
    <mergeCell ref="E9:E10"/>
    <mergeCell ref="F9:F10"/>
    <mergeCell ref="G9:G10"/>
  </mergeCells>
  <pageMargins left="0.7" right="0.7" top="0.75" bottom="0.75" header="0.3" footer="0.3"/>
  <pageSetup scale="67" orientation="portrait" r:id="rId1"/>
  <colBreaks count="1" manualBreakCount="1">
    <brk id="14" max="52" man="1"/>
  </colBreaks>
  <drawing r:id="rId2"/>
  <legacyDrawing r:id="rId3"/>
  <oleObjects>
    <mc:AlternateContent xmlns:mc="http://schemas.openxmlformats.org/markup-compatibility/2006">
      <mc:Choice Requires="x14">
        <oleObject progId="MSPhotoEd.3" shapeId="7171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28575</xdr:rowOff>
              </from>
              <to>
                <xdr:col>1</xdr:col>
                <xdr:colOff>104775</xdr:colOff>
                <xdr:row>3</xdr:row>
                <xdr:rowOff>9525</xdr:rowOff>
              </to>
            </anchor>
          </objectPr>
        </oleObject>
      </mc:Choice>
      <mc:Fallback>
        <oleObject progId="MSPhotoEd.3" shapeId="7171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R50"/>
  <sheetViews>
    <sheetView zoomScaleNormal="100" zoomScaleSheetLayoutView="100" workbookViewId="0">
      <selection activeCell="K4" sqref="K4"/>
    </sheetView>
  </sheetViews>
  <sheetFormatPr defaultRowHeight="12.75" x14ac:dyDescent="0.2"/>
  <cols>
    <col min="1" max="1" width="3.28515625" style="46" customWidth="1"/>
    <col min="2" max="2" width="13.28515625" style="46" customWidth="1"/>
    <col min="3" max="3" width="9.42578125" style="46" bestFit="1" customWidth="1"/>
    <col min="4" max="4" width="12.5703125" style="46" customWidth="1"/>
    <col min="5" max="5" width="9.140625" style="46" customWidth="1"/>
    <col min="6" max="6" width="12.5703125" style="46" customWidth="1"/>
    <col min="7" max="7" width="9.140625" style="46" customWidth="1"/>
    <col min="8" max="8" width="12.5703125" style="46" customWidth="1"/>
    <col min="9" max="9" width="9.140625" style="46" customWidth="1"/>
    <col min="10" max="10" width="12.5703125" style="46" customWidth="1"/>
    <col min="11" max="11" width="9.140625" style="46" customWidth="1"/>
    <col min="12" max="16384" width="9.140625" style="46"/>
  </cols>
  <sheetData>
    <row r="3" spans="1:18" x14ac:dyDescent="0.2">
      <c r="H3" s="65" t="s">
        <v>323</v>
      </c>
      <c r="I3" s="44"/>
      <c r="J3" s="57"/>
      <c r="L3" s="57"/>
    </row>
    <row r="7" spans="1:18" x14ac:dyDescent="0.2">
      <c r="B7" s="82">
        <v>1.1100000000000001</v>
      </c>
      <c r="C7" s="387" t="s">
        <v>327</v>
      </c>
      <c r="D7" s="387"/>
      <c r="E7" s="387"/>
      <c r="F7" s="387"/>
      <c r="G7" s="387"/>
      <c r="H7" s="387"/>
      <c r="I7" s="387"/>
      <c r="J7" s="47"/>
      <c r="K7" s="47"/>
      <c r="L7" s="47"/>
      <c r="M7" s="47"/>
      <c r="N7" s="47"/>
      <c r="O7" s="47"/>
      <c r="P7" s="47"/>
      <c r="Q7" s="47"/>
      <c r="R7" s="47"/>
    </row>
    <row r="8" spans="1:18" x14ac:dyDescent="0.2">
      <c r="J8" s="59"/>
    </row>
    <row r="9" spans="1:18" x14ac:dyDescent="0.2">
      <c r="A9" s="59"/>
      <c r="G9" s="68"/>
      <c r="H9" s="59"/>
      <c r="I9" s="59"/>
      <c r="J9" s="59"/>
    </row>
    <row r="10" spans="1:18" x14ac:dyDescent="0.2">
      <c r="A10" s="59"/>
      <c r="B10" s="253"/>
      <c r="C10" s="254" t="s">
        <v>43</v>
      </c>
      <c r="D10" s="255">
        <v>1989</v>
      </c>
      <c r="E10" s="255"/>
      <c r="F10" s="256">
        <v>1999</v>
      </c>
      <c r="G10" s="255"/>
      <c r="H10" s="421">
        <v>2010</v>
      </c>
      <c r="I10" s="422"/>
      <c r="J10" s="421">
        <v>2021</v>
      </c>
      <c r="K10" s="386"/>
    </row>
    <row r="11" spans="1:18" x14ac:dyDescent="0.2">
      <c r="A11" s="59"/>
      <c r="B11" s="48" t="s">
        <v>44</v>
      </c>
      <c r="C11" s="257" t="s">
        <v>45</v>
      </c>
      <c r="D11" s="258" t="s">
        <v>46</v>
      </c>
      <c r="E11" s="259" t="s">
        <v>47</v>
      </c>
      <c r="F11" s="75" t="s">
        <v>46</v>
      </c>
      <c r="G11" s="259" t="s">
        <v>47</v>
      </c>
      <c r="H11" s="75" t="s">
        <v>46</v>
      </c>
      <c r="I11" s="75" t="s">
        <v>47</v>
      </c>
      <c r="J11" s="258" t="s">
        <v>46</v>
      </c>
      <c r="K11" s="75" t="s">
        <v>47</v>
      </c>
    </row>
    <row r="12" spans="1:18" x14ac:dyDescent="0.2">
      <c r="A12" s="59"/>
      <c r="B12" s="125"/>
      <c r="C12" s="260"/>
      <c r="D12" s="261"/>
      <c r="E12" s="262"/>
      <c r="F12" s="71"/>
      <c r="G12" s="262"/>
      <c r="H12" s="263"/>
      <c r="I12" s="264"/>
      <c r="J12" s="263"/>
      <c r="K12" s="264"/>
    </row>
    <row r="13" spans="1:18" x14ac:dyDescent="0.2">
      <c r="A13" s="59"/>
      <c r="B13" s="125" t="s">
        <v>1</v>
      </c>
      <c r="C13" s="265">
        <v>102</v>
      </c>
      <c r="D13" s="266">
        <v>25355</v>
      </c>
      <c r="E13" s="267">
        <f>D13/C13</f>
        <v>248.57843137254903</v>
      </c>
      <c r="F13" s="51">
        <v>39410</v>
      </c>
      <c r="G13" s="51">
        <f>F13/C13</f>
        <v>386.37254901960785</v>
      </c>
      <c r="H13" s="234">
        <v>55036</v>
      </c>
      <c r="I13" s="156">
        <f>H13/C13</f>
        <v>539.56862745098044</v>
      </c>
      <c r="J13" s="234">
        <v>71104.754466629631</v>
      </c>
      <c r="K13" s="156">
        <v>697.10543594734929</v>
      </c>
    </row>
    <row r="14" spans="1:18" x14ac:dyDescent="0.2">
      <c r="A14" s="59"/>
      <c r="B14" s="59"/>
      <c r="C14" s="268"/>
      <c r="D14" s="184"/>
      <c r="E14" s="269"/>
      <c r="F14" s="53"/>
      <c r="G14" s="269"/>
      <c r="H14" s="184"/>
      <c r="I14" s="156"/>
      <c r="J14" s="184"/>
      <c r="K14" s="156"/>
    </row>
    <row r="15" spans="1:18" x14ac:dyDescent="0.2">
      <c r="A15" s="59"/>
      <c r="B15" s="59" t="s">
        <v>48</v>
      </c>
      <c r="C15" s="265">
        <v>76</v>
      </c>
      <c r="D15" s="266">
        <v>23881</v>
      </c>
      <c r="E15" s="267">
        <f>+D15/C15</f>
        <v>314.2236842105263</v>
      </c>
      <c r="F15" s="51">
        <v>37473</v>
      </c>
      <c r="G15" s="267">
        <f>+F15/C15</f>
        <v>493.06578947368422</v>
      </c>
      <c r="H15" s="184">
        <v>52740</v>
      </c>
      <c r="I15" s="156">
        <f>H15/C15</f>
        <v>693.9473684210526</v>
      </c>
      <c r="J15" s="184">
        <v>68847.916762516426</v>
      </c>
      <c r="K15" s="156">
        <v>905.89364161205822</v>
      </c>
    </row>
    <row r="16" spans="1:18" x14ac:dyDescent="0.2">
      <c r="A16" s="59"/>
      <c r="B16" s="59" t="s">
        <v>49</v>
      </c>
      <c r="C16" s="265">
        <v>15</v>
      </c>
      <c r="D16" s="266">
        <v>1441</v>
      </c>
      <c r="E16" s="267">
        <f>+D16/C16</f>
        <v>96.066666666666663</v>
      </c>
      <c r="F16" s="51">
        <v>1822</v>
      </c>
      <c r="G16" s="267">
        <f>+F16/C16</f>
        <v>121.46666666666667</v>
      </c>
      <c r="H16" s="184">
        <v>2098</v>
      </c>
      <c r="I16" s="156">
        <f>H16/C16</f>
        <v>139.86666666666667</v>
      </c>
      <c r="J16" s="184">
        <v>2075.1906437894281</v>
      </c>
      <c r="K16" s="156">
        <v>138.3460429192952</v>
      </c>
    </row>
    <row r="17" spans="1:14" x14ac:dyDescent="0.2">
      <c r="A17" s="59"/>
      <c r="B17" s="59" t="s">
        <v>50</v>
      </c>
      <c r="C17" s="265">
        <v>11</v>
      </c>
      <c r="D17" s="266">
        <v>33</v>
      </c>
      <c r="E17" s="267">
        <f>+D17/C17</f>
        <v>3</v>
      </c>
      <c r="F17" s="51">
        <v>115</v>
      </c>
      <c r="G17" s="267">
        <f>+F17/C17</f>
        <v>10.454545454545455</v>
      </c>
      <c r="H17" s="184">
        <v>198</v>
      </c>
      <c r="I17" s="156">
        <f>H17/C17</f>
        <v>18</v>
      </c>
      <c r="J17" s="184">
        <v>181.64706032377714</v>
      </c>
      <c r="K17" s="156">
        <v>16.513369120343377</v>
      </c>
    </row>
    <row r="18" spans="1:14" x14ac:dyDescent="0.2">
      <c r="A18" s="59"/>
      <c r="B18" s="68"/>
      <c r="C18" s="270"/>
      <c r="D18" s="271"/>
      <c r="E18" s="272"/>
      <c r="F18" s="127"/>
      <c r="G18" s="272"/>
      <c r="H18" s="273"/>
      <c r="I18" s="274"/>
      <c r="J18" s="273"/>
      <c r="K18" s="274"/>
    </row>
    <row r="19" spans="1:14" x14ac:dyDescent="0.2">
      <c r="A19" s="59"/>
      <c r="B19" s="59"/>
      <c r="C19" s="157"/>
      <c r="D19" s="157"/>
      <c r="E19" s="157"/>
      <c r="F19" s="157"/>
      <c r="G19" s="157"/>
      <c r="H19" s="59"/>
      <c r="I19" s="59"/>
      <c r="J19" s="59"/>
    </row>
    <row r="20" spans="1:14" x14ac:dyDescent="0.2">
      <c r="B20" s="66" t="s">
        <v>41</v>
      </c>
      <c r="J20" s="59"/>
    </row>
    <row r="21" spans="1:14" x14ac:dyDescent="0.2">
      <c r="B21" s="44" t="s">
        <v>102</v>
      </c>
    </row>
    <row r="22" spans="1:14" x14ac:dyDescent="0.2">
      <c r="B22" s="44"/>
    </row>
    <row r="23" spans="1:14" ht="15" x14ac:dyDescent="0.25">
      <c r="B23" s="55" t="s">
        <v>38</v>
      </c>
      <c r="H23" s="42"/>
      <c r="I23" s="42"/>
      <c r="J23" s="42"/>
      <c r="K23" s="42"/>
      <c r="L23" s="42"/>
      <c r="M23" s="42"/>
      <c r="N23" s="42"/>
    </row>
    <row r="24" spans="1:14" ht="15" x14ac:dyDescent="0.25">
      <c r="H24" s="42"/>
      <c r="I24" s="42"/>
      <c r="J24" s="42"/>
      <c r="K24" s="42"/>
      <c r="L24" s="42"/>
      <c r="M24" s="42"/>
      <c r="N24" s="42"/>
    </row>
    <row r="25" spans="1:14" ht="15" x14ac:dyDescent="0.25">
      <c r="H25" s="42"/>
      <c r="I25" s="42"/>
      <c r="J25" s="42"/>
      <c r="K25" s="42"/>
      <c r="L25" s="42"/>
      <c r="M25" s="42"/>
      <c r="N25" s="42"/>
    </row>
    <row r="26" spans="1:14" ht="15" x14ac:dyDescent="0.25">
      <c r="H26" s="42"/>
      <c r="I26" s="42"/>
      <c r="J26" s="42"/>
      <c r="K26" s="42"/>
      <c r="L26" s="42"/>
      <c r="M26" s="42"/>
      <c r="N26" s="42"/>
    </row>
    <row r="27" spans="1:14" ht="15" x14ac:dyDescent="0.25">
      <c r="H27" s="42"/>
      <c r="I27" s="42"/>
      <c r="J27" s="42"/>
      <c r="K27" s="42"/>
      <c r="L27" s="42"/>
      <c r="M27" s="42"/>
      <c r="N27" s="42"/>
    </row>
    <row r="28" spans="1:14" ht="15" x14ac:dyDescent="0.25">
      <c r="H28" s="42"/>
      <c r="I28" s="42"/>
      <c r="J28" s="42"/>
      <c r="K28" s="42"/>
      <c r="L28" s="42"/>
      <c r="M28" s="42"/>
      <c r="N28" s="42"/>
    </row>
    <row r="29" spans="1:14" ht="15" x14ac:dyDescent="0.25">
      <c r="H29" s="42"/>
      <c r="I29" s="42"/>
      <c r="J29" s="42"/>
      <c r="K29" s="42"/>
      <c r="L29" s="42"/>
      <c r="M29" s="42"/>
      <c r="N29" s="42"/>
    </row>
    <row r="30" spans="1:14" ht="15" x14ac:dyDescent="0.25">
      <c r="H30" s="42"/>
      <c r="I30" s="42"/>
      <c r="J30" s="42"/>
      <c r="K30" s="42"/>
      <c r="L30" s="42"/>
      <c r="M30" s="42"/>
      <c r="N30" s="42"/>
    </row>
    <row r="31" spans="1:14" ht="15" x14ac:dyDescent="0.25">
      <c r="H31" s="42"/>
      <c r="I31" s="42"/>
      <c r="J31" s="42"/>
      <c r="K31" s="42"/>
      <c r="L31" s="42"/>
      <c r="M31" s="42"/>
      <c r="N31" s="42"/>
    </row>
    <row r="32" spans="1:14" ht="15" x14ac:dyDescent="0.25">
      <c r="H32" s="42"/>
      <c r="I32" s="42"/>
      <c r="J32" s="42"/>
      <c r="K32" s="42"/>
      <c r="L32" s="42"/>
      <c r="M32" s="42"/>
      <c r="N32" s="42"/>
    </row>
    <row r="49" spans="1:11" s="42" customFormat="1" ht="12.75" customHeight="1" x14ac:dyDescent="0.25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</row>
    <row r="50" spans="1:11" x14ac:dyDescent="0.2">
      <c r="A50" s="118"/>
      <c r="B50" s="118"/>
      <c r="C50" s="118"/>
      <c r="D50" s="118"/>
      <c r="E50" s="118"/>
      <c r="F50" s="118"/>
      <c r="G50" s="118"/>
      <c r="H50" s="118"/>
      <c r="I50" s="118"/>
      <c r="J50" s="118"/>
    </row>
  </sheetData>
  <mergeCells count="3">
    <mergeCell ref="C7:I7"/>
    <mergeCell ref="H10:I10"/>
    <mergeCell ref="J10:K10"/>
  </mergeCells>
  <pageMargins left="0.7" right="0.7" top="0.75" bottom="0.75" header="0.3" footer="0.3"/>
  <pageSetup scale="80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8194" r:id="rId4">
          <objectPr defaultSize="0" autoPict="0" r:id="rId5">
            <anchor moveWithCells="1" sizeWithCells="1">
              <from>
                <xdr:col>0</xdr:col>
                <xdr:colOff>104775</xdr:colOff>
                <xdr:row>0</xdr:row>
                <xdr:rowOff>47625</xdr:rowOff>
              </from>
              <to>
                <xdr:col>1</xdr:col>
                <xdr:colOff>542925</xdr:colOff>
                <xdr:row>3</xdr:row>
                <xdr:rowOff>9525</xdr:rowOff>
              </to>
            </anchor>
          </objectPr>
        </oleObject>
      </mc:Choice>
      <mc:Fallback>
        <oleObject progId="MSPhotoEd.3" shapeId="8194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W44"/>
  <sheetViews>
    <sheetView zoomScaleNormal="100" zoomScaleSheetLayoutView="100" workbookViewId="0">
      <selection activeCell="J32" sqref="J32"/>
    </sheetView>
  </sheetViews>
  <sheetFormatPr defaultRowHeight="15" x14ac:dyDescent="0.25"/>
  <cols>
    <col min="1" max="1" width="9.140625" style="42"/>
    <col min="2" max="2" width="15.28515625" style="42" customWidth="1"/>
    <col min="3" max="8" width="10.5703125" style="42" customWidth="1"/>
    <col min="9" max="16384" width="9.140625" style="42"/>
  </cols>
  <sheetData>
    <row r="1" spans="2:23" s="46" customFormat="1" x14ac:dyDescent="0.25">
      <c r="P1" s="42"/>
      <c r="Q1" s="42"/>
      <c r="R1" s="42"/>
      <c r="S1" s="42"/>
      <c r="T1" s="42"/>
      <c r="U1" s="42"/>
      <c r="V1" s="42"/>
      <c r="W1" s="42"/>
    </row>
    <row r="2" spans="2:23" s="46" customFormat="1" x14ac:dyDescent="0.25">
      <c r="P2" s="42"/>
      <c r="Q2" s="42"/>
      <c r="R2" s="42"/>
      <c r="S2" s="42"/>
      <c r="T2" s="42"/>
      <c r="U2" s="42"/>
      <c r="V2" s="42"/>
      <c r="W2" s="42"/>
    </row>
    <row r="3" spans="2:23" s="46" customFormat="1" x14ac:dyDescent="0.25">
      <c r="F3" s="65" t="s">
        <v>323</v>
      </c>
      <c r="G3" s="44"/>
      <c r="H3" s="44"/>
      <c r="K3" s="57"/>
      <c r="P3" s="42"/>
      <c r="Q3" s="42"/>
      <c r="R3" s="42"/>
      <c r="S3" s="42"/>
      <c r="T3" s="42"/>
      <c r="U3" s="42"/>
      <c r="V3" s="42"/>
      <c r="W3" s="42"/>
    </row>
    <row r="7" spans="2:23" x14ac:dyDescent="0.25">
      <c r="B7" s="58">
        <v>1.1200000000000001</v>
      </c>
      <c r="C7" s="387" t="s">
        <v>328</v>
      </c>
      <c r="D7" s="387"/>
      <c r="E7" s="387"/>
      <c r="F7" s="387"/>
      <c r="G7" s="387"/>
      <c r="H7" s="47"/>
      <c r="I7" s="74"/>
    </row>
    <row r="8" spans="2:23" x14ac:dyDescent="0.25">
      <c r="B8" s="75"/>
      <c r="C8" s="75"/>
      <c r="D8" s="75"/>
      <c r="E8" s="75"/>
      <c r="F8" s="75"/>
      <c r="G8" s="75"/>
      <c r="H8" s="75"/>
      <c r="I8" s="59"/>
    </row>
    <row r="9" spans="2:23" x14ac:dyDescent="0.25">
      <c r="B9" s="48" t="s">
        <v>51</v>
      </c>
      <c r="C9" s="48">
        <v>1970</v>
      </c>
      <c r="D9" s="48">
        <v>1979</v>
      </c>
      <c r="E9" s="48">
        <v>1989</v>
      </c>
      <c r="F9" s="48">
        <v>1999</v>
      </c>
      <c r="G9" s="122">
        <v>2010</v>
      </c>
      <c r="H9" s="122">
        <v>2021</v>
      </c>
      <c r="I9" s="59"/>
    </row>
    <row r="10" spans="2:23" x14ac:dyDescent="0.25">
      <c r="B10" s="66"/>
      <c r="C10" s="79"/>
      <c r="D10" s="79"/>
      <c r="E10" s="79"/>
      <c r="F10" s="79"/>
      <c r="G10" s="46"/>
      <c r="H10" s="46"/>
      <c r="I10" s="59"/>
    </row>
    <row r="11" spans="2:23" x14ac:dyDescent="0.25">
      <c r="B11" s="59" t="s">
        <v>52</v>
      </c>
      <c r="C11" s="83">
        <v>3882</v>
      </c>
      <c r="D11" s="83">
        <v>4854</v>
      </c>
      <c r="E11" s="83">
        <v>5758</v>
      </c>
      <c r="F11" s="83">
        <v>7600</v>
      </c>
      <c r="G11" s="83">
        <v>9968</v>
      </c>
      <c r="H11" s="83">
        <v>11314.667751410501</v>
      </c>
      <c r="I11" s="59"/>
    </row>
    <row r="12" spans="2:23" x14ac:dyDescent="0.25">
      <c r="B12" s="59"/>
      <c r="C12" s="83"/>
      <c r="D12" s="83"/>
      <c r="E12" s="83"/>
      <c r="F12" s="83"/>
      <c r="G12" s="83"/>
      <c r="H12" s="83"/>
      <c r="I12" s="59"/>
    </row>
    <row r="13" spans="2:23" x14ac:dyDescent="0.25">
      <c r="B13" s="59" t="s">
        <v>53</v>
      </c>
      <c r="C13" s="83">
        <v>5428</v>
      </c>
      <c r="D13" s="83">
        <v>10660</v>
      </c>
      <c r="E13" s="83">
        <v>17996</v>
      </c>
      <c r="F13" s="83">
        <v>29156</v>
      </c>
      <c r="G13" s="83">
        <v>42082</v>
      </c>
      <c r="H13" s="83">
        <v>53672.851025636148</v>
      </c>
      <c r="I13" s="59"/>
    </row>
    <row r="14" spans="2:23" x14ac:dyDescent="0.25">
      <c r="B14" s="59"/>
      <c r="C14" s="83"/>
      <c r="D14" s="83"/>
      <c r="E14" s="83"/>
      <c r="F14" s="83"/>
      <c r="G14" s="83"/>
      <c r="H14" s="83"/>
      <c r="I14" s="46"/>
    </row>
    <row r="15" spans="2:23" x14ac:dyDescent="0.25">
      <c r="B15" s="50" t="s">
        <v>20</v>
      </c>
      <c r="C15" s="83">
        <v>758</v>
      </c>
      <c r="D15" s="83">
        <v>1163</v>
      </c>
      <c r="E15" s="83">
        <v>1601</v>
      </c>
      <c r="F15" s="83">
        <v>2264</v>
      </c>
      <c r="G15" s="83">
        <v>2985</v>
      </c>
      <c r="H15" s="83">
        <v>5602.0474907222333</v>
      </c>
      <c r="I15" s="46"/>
    </row>
    <row r="16" spans="2:23" x14ac:dyDescent="0.25">
      <c r="B16" s="59"/>
      <c r="C16" s="83"/>
      <c r="D16" s="83"/>
      <c r="E16" s="83"/>
      <c r="F16" s="83"/>
      <c r="G16" s="46"/>
      <c r="H16" s="46"/>
      <c r="I16" s="46"/>
    </row>
    <row r="17" spans="2:10" x14ac:dyDescent="0.25">
      <c r="B17" s="59" t="s">
        <v>54</v>
      </c>
      <c r="C17" s="59">
        <v>85.5</v>
      </c>
      <c r="D17" s="59">
        <v>56.4</v>
      </c>
      <c r="E17" s="59">
        <v>40.9</v>
      </c>
      <c r="F17" s="52">
        <v>33.831801344491701</v>
      </c>
      <c r="G17" s="275">
        <f>SUM(G11+G15)/G13*100</f>
        <v>30.780381160591226</v>
      </c>
      <c r="H17" s="275">
        <v>31.518197596868259</v>
      </c>
      <c r="I17" s="46"/>
    </row>
    <row r="18" spans="2:10" x14ac:dyDescent="0.25">
      <c r="B18" s="68"/>
      <c r="C18" s="276"/>
      <c r="D18" s="276"/>
      <c r="E18" s="276"/>
      <c r="F18" s="276" t="s">
        <v>55</v>
      </c>
      <c r="G18" s="68"/>
      <c r="H18" s="68"/>
      <c r="I18" s="46"/>
    </row>
    <row r="19" spans="2:10" x14ac:dyDescent="0.25">
      <c r="B19" s="59"/>
      <c r="C19" s="277"/>
      <c r="D19" s="277"/>
      <c r="E19" s="277"/>
      <c r="F19" s="277"/>
      <c r="G19" s="59"/>
      <c r="H19" s="59"/>
      <c r="I19" s="46"/>
    </row>
    <row r="20" spans="2:10" x14ac:dyDescent="0.25">
      <c r="B20" s="125" t="s">
        <v>41</v>
      </c>
      <c r="C20" s="59"/>
      <c r="D20" s="59"/>
      <c r="E20" s="277"/>
      <c r="F20" s="277"/>
      <c r="G20" s="277"/>
      <c r="H20" s="277"/>
      <c r="I20" s="277"/>
      <c r="J20" s="46"/>
    </row>
    <row r="21" spans="2:10" x14ac:dyDescent="0.25">
      <c r="B21" s="59" t="s">
        <v>56</v>
      </c>
      <c r="C21" s="59"/>
      <c r="D21" s="59"/>
      <c r="E21" s="84"/>
      <c r="F21" s="59"/>
      <c r="G21" s="59"/>
      <c r="H21" s="59"/>
      <c r="I21" s="52"/>
      <c r="J21" s="46"/>
    </row>
    <row r="22" spans="2:10" x14ac:dyDescent="0.25">
      <c r="B22" s="59" t="s">
        <v>111</v>
      </c>
      <c r="C22" s="59"/>
      <c r="D22" s="59"/>
      <c r="E22" s="84"/>
      <c r="F22" s="59"/>
      <c r="G22" s="59"/>
      <c r="H22" s="59"/>
      <c r="I22" s="52"/>
      <c r="J22" s="46"/>
    </row>
    <row r="23" spans="2:10" x14ac:dyDescent="0.25">
      <c r="B23" s="59"/>
      <c r="C23" s="59"/>
      <c r="D23" s="59"/>
      <c r="E23" s="84"/>
      <c r="F23" s="59"/>
      <c r="G23" s="59"/>
      <c r="H23" s="59"/>
      <c r="I23" s="52"/>
      <c r="J23" s="46"/>
    </row>
    <row r="24" spans="2:10" x14ac:dyDescent="0.25">
      <c r="B24" s="55" t="s">
        <v>38</v>
      </c>
      <c r="C24" s="67"/>
      <c r="D24" s="67"/>
      <c r="E24" s="67"/>
      <c r="F24" s="67"/>
      <c r="G24" s="67"/>
      <c r="H24" s="67"/>
      <c r="I24" s="67"/>
      <c r="J24" s="46"/>
    </row>
    <row r="25" spans="2:10" x14ac:dyDescent="0.25">
      <c r="B25" s="67"/>
      <c r="C25" s="67"/>
      <c r="D25" s="67"/>
      <c r="E25" s="67"/>
      <c r="F25" s="67"/>
      <c r="G25" s="67"/>
      <c r="H25" s="67"/>
      <c r="I25" s="67"/>
      <c r="J25" s="46"/>
    </row>
    <row r="43" spans="1:11" ht="12.75" customHeight="1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</row>
    <row r="44" spans="1:11" x14ac:dyDescent="0.25">
      <c r="A44" s="85"/>
      <c r="B44" s="85"/>
      <c r="C44" s="85"/>
      <c r="D44" s="85"/>
      <c r="E44" s="85"/>
      <c r="F44" s="85"/>
      <c r="G44" s="85"/>
      <c r="H44" s="85"/>
    </row>
  </sheetData>
  <mergeCells count="1">
    <mergeCell ref="C7:G7"/>
  </mergeCells>
  <pageMargins left="0.7" right="0.7" top="0.75" bottom="0.75" header="0.3" footer="0.3"/>
  <pageSetup scale="85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9218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47625</xdr:rowOff>
              </from>
              <to>
                <xdr:col>0</xdr:col>
                <xdr:colOff>504825</xdr:colOff>
                <xdr:row>2</xdr:row>
                <xdr:rowOff>47625</xdr:rowOff>
              </to>
            </anchor>
          </objectPr>
        </oleObject>
      </mc:Choice>
      <mc:Fallback>
        <oleObject progId="MSPhotoEd.3" shapeId="9218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X49"/>
  <sheetViews>
    <sheetView zoomScaleNormal="100" zoomScaleSheetLayoutView="100" workbookViewId="0">
      <selection activeCell="F3" sqref="F3"/>
    </sheetView>
  </sheetViews>
  <sheetFormatPr defaultRowHeight="12.75" x14ac:dyDescent="0.2"/>
  <cols>
    <col min="1" max="1" width="8.28515625" style="46" customWidth="1"/>
    <col min="2" max="2" width="16.28515625" style="46" customWidth="1"/>
    <col min="3" max="3" width="10.42578125" style="46" customWidth="1"/>
    <col min="4" max="4" width="18" style="46" customWidth="1"/>
    <col min="5" max="5" width="18.42578125" style="46" bestFit="1" customWidth="1"/>
    <col min="6" max="6" width="12.85546875" style="46" bestFit="1" customWidth="1"/>
    <col min="7" max="16384" width="9.140625" style="46"/>
  </cols>
  <sheetData>
    <row r="2" spans="1:24" x14ac:dyDescent="0.2">
      <c r="E2" s="65" t="s">
        <v>329</v>
      </c>
    </row>
    <row r="3" spans="1:24" x14ac:dyDescent="0.2">
      <c r="G3" s="57"/>
      <c r="K3" s="57"/>
    </row>
    <row r="7" spans="1:24" x14ac:dyDescent="0.2">
      <c r="A7" s="86">
        <v>1.1299999999999999</v>
      </c>
      <c r="B7" s="387" t="s">
        <v>336</v>
      </c>
      <c r="C7" s="387"/>
      <c r="D7" s="387"/>
      <c r="E7" s="38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</row>
    <row r="8" spans="1:24" x14ac:dyDescent="0.2">
      <c r="A8" s="66"/>
      <c r="B8" s="117"/>
      <c r="C8" s="117"/>
      <c r="D8" s="117"/>
      <c r="E8" s="117"/>
      <c r="F8" s="8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</row>
    <row r="9" spans="1:24" x14ac:dyDescent="0.2">
      <c r="B9" s="59"/>
      <c r="C9" s="115"/>
      <c r="D9" s="51"/>
      <c r="E9" s="51"/>
      <c r="F9" s="116"/>
      <c r="G9" s="51"/>
      <c r="H9" s="51"/>
      <c r="I9" s="51"/>
      <c r="J9" s="51"/>
      <c r="K9" s="51"/>
      <c r="L9" s="51"/>
      <c r="M9" s="51"/>
      <c r="N9" s="52"/>
      <c r="O9" s="51"/>
      <c r="P9" s="52"/>
      <c r="Q9" s="52"/>
      <c r="R9" s="52"/>
      <c r="S9" s="52"/>
      <c r="T9" s="52"/>
      <c r="U9" s="52"/>
      <c r="V9" s="52"/>
      <c r="W9" s="88"/>
      <c r="X9" s="83"/>
    </row>
    <row r="10" spans="1:24" x14ac:dyDescent="0.2">
      <c r="B10" s="122" t="s">
        <v>57</v>
      </c>
      <c r="C10" s="278"/>
      <c r="D10" s="279" t="s">
        <v>58</v>
      </c>
      <c r="E10" s="280" t="s">
        <v>46</v>
      </c>
      <c r="F10" s="281"/>
      <c r="G10" s="80"/>
      <c r="H10" s="79"/>
      <c r="I10" s="83"/>
    </row>
    <row r="11" spans="1:24" ht="14.25" x14ac:dyDescent="0.2">
      <c r="B11" s="282" t="s">
        <v>144</v>
      </c>
      <c r="C11" s="50"/>
      <c r="D11" s="50">
        <v>2010</v>
      </c>
      <c r="E11" s="283">
        <v>351461</v>
      </c>
      <c r="F11" s="60"/>
      <c r="G11" s="67"/>
      <c r="H11" s="83"/>
      <c r="I11" s="83"/>
    </row>
    <row r="12" spans="1:24" ht="14.25" x14ac:dyDescent="0.2">
      <c r="B12" s="282" t="s">
        <v>60</v>
      </c>
      <c r="C12" s="50"/>
      <c r="D12" s="50">
        <v>2010</v>
      </c>
      <c r="E12" s="283">
        <v>277821</v>
      </c>
      <c r="F12" s="284"/>
    </row>
    <row r="13" spans="1:24" ht="14.25" x14ac:dyDescent="0.2">
      <c r="B13" s="282" t="s">
        <v>59</v>
      </c>
      <c r="C13" s="50"/>
      <c r="D13" s="50">
        <v>2020</v>
      </c>
      <c r="E13" s="283">
        <v>397628</v>
      </c>
      <c r="F13" s="284"/>
    </row>
    <row r="14" spans="1:24" ht="14.25" x14ac:dyDescent="0.2">
      <c r="B14" s="282" t="s">
        <v>145</v>
      </c>
      <c r="C14" s="50"/>
      <c r="D14" s="50">
        <v>2011</v>
      </c>
      <c r="E14" s="283">
        <v>71293</v>
      </c>
      <c r="F14" s="284"/>
    </row>
    <row r="15" spans="1:24" ht="14.25" x14ac:dyDescent="0.2">
      <c r="B15" s="282" t="s">
        <v>146</v>
      </c>
      <c r="C15" s="50"/>
      <c r="D15" s="50">
        <v>2011</v>
      </c>
      <c r="E15" s="283">
        <v>105539</v>
      </c>
      <c r="F15" s="284"/>
    </row>
    <row r="16" spans="1:24" ht="14.25" x14ac:dyDescent="0.2">
      <c r="B16" s="282" t="s">
        <v>62</v>
      </c>
      <c r="C16" s="50"/>
      <c r="D16" s="50">
        <v>2012</v>
      </c>
      <c r="E16" s="283">
        <v>747884</v>
      </c>
      <c r="F16" s="284"/>
    </row>
    <row r="17" spans="1:24" ht="14.25" x14ac:dyDescent="0.2">
      <c r="B17" s="282" t="s">
        <v>63</v>
      </c>
      <c r="C17" s="50"/>
      <c r="D17" s="50">
        <v>2011</v>
      </c>
      <c r="E17" s="283">
        <v>2697983</v>
      </c>
      <c r="F17" s="284"/>
    </row>
    <row r="18" spans="1:24" ht="14.25" x14ac:dyDescent="0.2">
      <c r="A18" s="59"/>
      <c r="B18" s="282" t="s">
        <v>147</v>
      </c>
      <c r="C18" s="50"/>
      <c r="D18" s="50">
        <v>2001</v>
      </c>
      <c r="E18" s="283">
        <v>4491</v>
      </c>
      <c r="F18" s="284"/>
    </row>
    <row r="19" spans="1:24" ht="14.25" x14ac:dyDescent="0.2">
      <c r="A19" s="59"/>
      <c r="B19" s="282" t="s">
        <v>64</v>
      </c>
      <c r="C19" s="50"/>
      <c r="D19" s="50">
        <v>2018</v>
      </c>
      <c r="E19" s="283">
        <v>179667</v>
      </c>
      <c r="F19" s="284"/>
    </row>
    <row r="20" spans="1:24" ht="14.25" x14ac:dyDescent="0.2">
      <c r="B20" s="282" t="s">
        <v>148</v>
      </c>
      <c r="C20" s="50"/>
      <c r="D20" s="50">
        <v>2011</v>
      </c>
      <c r="E20" s="283">
        <v>47195</v>
      </c>
      <c r="F20" s="284"/>
    </row>
    <row r="21" spans="1:24" ht="14.25" x14ac:dyDescent="0.2">
      <c r="B21" s="282" t="s">
        <v>149</v>
      </c>
      <c r="C21" s="50"/>
      <c r="D21" s="50">
        <v>2012</v>
      </c>
      <c r="E21" s="283">
        <v>109991</v>
      </c>
      <c r="F21" s="59"/>
    </row>
    <row r="22" spans="1:24" ht="14.25" x14ac:dyDescent="0.2">
      <c r="B22" s="282" t="s">
        <v>65</v>
      </c>
      <c r="C22" s="285"/>
      <c r="D22" s="50">
        <v>2012</v>
      </c>
      <c r="E22" s="283">
        <v>541638</v>
      </c>
      <c r="F22" s="81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</row>
    <row r="23" spans="1:24" ht="14.25" x14ac:dyDescent="0.2">
      <c r="B23" s="282" t="s">
        <v>150</v>
      </c>
      <c r="C23" s="285"/>
      <c r="D23" s="50">
        <v>2011</v>
      </c>
      <c r="E23" s="283">
        <v>1328019</v>
      </c>
      <c r="F23" s="81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</row>
    <row r="24" spans="1:24" ht="14.25" x14ac:dyDescent="0.2">
      <c r="B24" s="282" t="s">
        <v>151</v>
      </c>
      <c r="C24" s="50"/>
      <c r="D24" s="50">
        <v>2011</v>
      </c>
      <c r="E24" s="283">
        <v>15094</v>
      </c>
      <c r="F24" s="59"/>
    </row>
    <row r="25" spans="1:24" ht="14.25" x14ac:dyDescent="0.2">
      <c r="B25" s="282" t="s">
        <v>61</v>
      </c>
      <c r="C25" s="50"/>
      <c r="D25" s="50">
        <v>2016</v>
      </c>
      <c r="E25" s="283">
        <v>64237</v>
      </c>
      <c r="F25" s="59"/>
    </row>
    <row r="26" spans="1:24" ht="14.25" x14ac:dyDescent="0.2">
      <c r="B26" s="282" t="s">
        <v>152</v>
      </c>
      <c r="C26" s="50"/>
      <c r="D26" s="50">
        <v>2010</v>
      </c>
      <c r="E26" s="283">
        <v>28054</v>
      </c>
      <c r="F26" s="59"/>
    </row>
    <row r="27" spans="1:24" ht="14.25" x14ac:dyDescent="0.2">
      <c r="B27" s="282" t="s">
        <v>21</v>
      </c>
      <c r="C27" s="50"/>
      <c r="D27" s="50">
        <v>2021</v>
      </c>
      <c r="E27" s="283">
        <v>68136</v>
      </c>
      <c r="F27" s="59"/>
    </row>
    <row r="28" spans="1:24" ht="14.25" x14ac:dyDescent="0.2">
      <c r="B28" s="286" t="s">
        <v>153</v>
      </c>
      <c r="C28" s="287"/>
      <c r="D28" s="287">
        <v>2012</v>
      </c>
      <c r="E28" s="288">
        <v>31458</v>
      </c>
      <c r="F28" s="59"/>
    </row>
    <row r="29" spans="1:24" x14ac:dyDescent="0.2">
      <c r="B29" s="50"/>
      <c r="C29" s="50"/>
      <c r="D29" s="50"/>
      <c r="E29" s="50"/>
      <c r="F29" s="59"/>
    </row>
    <row r="30" spans="1:24" x14ac:dyDescent="0.2">
      <c r="B30" s="59" t="s">
        <v>154</v>
      </c>
      <c r="C30" s="59"/>
      <c r="D30" s="59"/>
      <c r="E30" s="59"/>
      <c r="F30" s="59"/>
    </row>
    <row r="48" spans="1:11" ht="12.75" customHeight="1" x14ac:dyDescent="0.2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</row>
    <row r="49" spans="1:7" x14ac:dyDescent="0.2">
      <c r="A49" s="118"/>
      <c r="B49" s="118"/>
      <c r="C49" s="118"/>
      <c r="D49" s="118"/>
      <c r="E49" s="118"/>
      <c r="F49" s="118"/>
      <c r="G49" s="118"/>
    </row>
  </sheetData>
  <mergeCells count="1">
    <mergeCell ref="B7:E7"/>
  </mergeCells>
  <pageMargins left="0.7" right="0.7" top="0.75" bottom="0.75" header="0.3" footer="0.3"/>
  <pageSetup scale="92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10241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47625</xdr:rowOff>
              </from>
              <to>
                <xdr:col>1</xdr:col>
                <xdr:colOff>400050</xdr:colOff>
                <xdr:row>2</xdr:row>
                <xdr:rowOff>114300</xdr:rowOff>
              </to>
            </anchor>
          </objectPr>
        </oleObject>
      </mc:Choice>
      <mc:Fallback>
        <oleObject progId="MSPhotoEd.3" shapeId="10241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X57"/>
  <sheetViews>
    <sheetView zoomScaleNormal="100" zoomScaleSheetLayoutView="90" workbookViewId="0">
      <selection activeCell="T3" sqref="T3"/>
    </sheetView>
  </sheetViews>
  <sheetFormatPr defaultRowHeight="12.75" x14ac:dyDescent="0.2"/>
  <cols>
    <col min="1" max="1" width="7.7109375" style="44" customWidth="1"/>
    <col min="2" max="2" width="15.140625" style="44" customWidth="1"/>
    <col min="3" max="3" width="10.28515625" style="44" customWidth="1"/>
    <col min="4" max="5" width="9.140625" style="44"/>
    <col min="6" max="6" width="11.28515625" style="44" customWidth="1"/>
    <col min="7" max="232" width="9.140625" style="44"/>
    <col min="233" max="233" width="7.7109375" style="44" customWidth="1"/>
    <col min="234" max="234" width="15.140625" style="44" customWidth="1"/>
    <col min="235" max="235" width="10" style="44" customWidth="1"/>
    <col min="236" max="236" width="8.42578125" style="44" customWidth="1"/>
    <col min="237" max="237" width="10.140625" style="44" customWidth="1"/>
    <col min="238" max="238" width="10" style="44" customWidth="1"/>
    <col min="239" max="239" width="8.42578125" style="44" customWidth="1"/>
    <col min="240" max="240" width="10.140625" style="44" customWidth="1"/>
    <col min="241" max="241" width="10" style="44" customWidth="1"/>
    <col min="242" max="242" width="8.42578125" style="44" customWidth="1"/>
    <col min="243" max="243" width="10.140625" style="44" customWidth="1"/>
    <col min="244" max="244" width="10" style="44" customWidth="1"/>
    <col min="245" max="245" width="8.42578125" style="44" customWidth="1"/>
    <col min="246" max="246" width="10.140625" style="44" customWidth="1"/>
    <col min="247" max="247" width="8.28515625" style="44" customWidth="1"/>
    <col min="248" max="248" width="7.7109375" style="44" customWidth="1"/>
    <col min="249" max="488" width="9.140625" style="44"/>
    <col min="489" max="489" width="7.7109375" style="44" customWidth="1"/>
    <col min="490" max="490" width="15.140625" style="44" customWidth="1"/>
    <col min="491" max="491" width="10" style="44" customWidth="1"/>
    <col min="492" max="492" width="8.42578125" style="44" customWidth="1"/>
    <col min="493" max="493" width="10.140625" style="44" customWidth="1"/>
    <col min="494" max="494" width="10" style="44" customWidth="1"/>
    <col min="495" max="495" width="8.42578125" style="44" customWidth="1"/>
    <col min="496" max="496" width="10.140625" style="44" customWidth="1"/>
    <col min="497" max="497" width="10" style="44" customWidth="1"/>
    <col min="498" max="498" width="8.42578125" style="44" customWidth="1"/>
    <col min="499" max="499" width="10.140625" style="44" customWidth="1"/>
    <col min="500" max="500" width="10" style="44" customWidth="1"/>
    <col min="501" max="501" width="8.42578125" style="44" customWidth="1"/>
    <col min="502" max="502" width="10.140625" style="44" customWidth="1"/>
    <col min="503" max="503" width="8.28515625" style="44" customWidth="1"/>
    <col min="504" max="504" width="7.7109375" style="44" customWidth="1"/>
    <col min="505" max="744" width="9.140625" style="44"/>
    <col min="745" max="745" width="7.7109375" style="44" customWidth="1"/>
    <col min="746" max="746" width="15.140625" style="44" customWidth="1"/>
    <col min="747" max="747" width="10" style="44" customWidth="1"/>
    <col min="748" max="748" width="8.42578125" style="44" customWidth="1"/>
    <col min="749" max="749" width="10.140625" style="44" customWidth="1"/>
    <col min="750" max="750" width="10" style="44" customWidth="1"/>
    <col min="751" max="751" width="8.42578125" style="44" customWidth="1"/>
    <col min="752" max="752" width="10.140625" style="44" customWidth="1"/>
    <col min="753" max="753" width="10" style="44" customWidth="1"/>
    <col min="754" max="754" width="8.42578125" style="44" customWidth="1"/>
    <col min="755" max="755" width="10.140625" style="44" customWidth="1"/>
    <col min="756" max="756" width="10" style="44" customWidth="1"/>
    <col min="757" max="757" width="8.42578125" style="44" customWidth="1"/>
    <col min="758" max="758" width="10.140625" style="44" customWidth="1"/>
    <col min="759" max="759" width="8.28515625" style="44" customWidth="1"/>
    <col min="760" max="760" width="7.7109375" style="44" customWidth="1"/>
    <col min="761" max="1000" width="9.140625" style="44"/>
    <col min="1001" max="1001" width="7.7109375" style="44" customWidth="1"/>
    <col min="1002" max="1002" width="15.140625" style="44" customWidth="1"/>
    <col min="1003" max="1003" width="10" style="44" customWidth="1"/>
    <col min="1004" max="1004" width="8.42578125" style="44" customWidth="1"/>
    <col min="1005" max="1005" width="10.140625" style="44" customWidth="1"/>
    <col min="1006" max="1006" width="10" style="44" customWidth="1"/>
    <col min="1007" max="1007" width="8.42578125" style="44" customWidth="1"/>
    <col min="1008" max="1008" width="10.140625" style="44" customWidth="1"/>
    <col min="1009" max="1009" width="10" style="44" customWidth="1"/>
    <col min="1010" max="1010" width="8.42578125" style="44" customWidth="1"/>
    <col min="1011" max="1011" width="10.140625" style="44" customWidth="1"/>
    <col min="1012" max="1012" width="10" style="44" customWidth="1"/>
    <col min="1013" max="1013" width="8.42578125" style="44" customWidth="1"/>
    <col min="1014" max="1014" width="10.140625" style="44" customWidth="1"/>
    <col min="1015" max="1015" width="8.28515625" style="44" customWidth="1"/>
    <col min="1016" max="1016" width="7.7109375" style="44" customWidth="1"/>
    <col min="1017" max="1256" width="9.140625" style="44"/>
    <col min="1257" max="1257" width="7.7109375" style="44" customWidth="1"/>
    <col min="1258" max="1258" width="15.140625" style="44" customWidth="1"/>
    <col min="1259" max="1259" width="10" style="44" customWidth="1"/>
    <col min="1260" max="1260" width="8.42578125" style="44" customWidth="1"/>
    <col min="1261" max="1261" width="10.140625" style="44" customWidth="1"/>
    <col min="1262" max="1262" width="10" style="44" customWidth="1"/>
    <col min="1263" max="1263" width="8.42578125" style="44" customWidth="1"/>
    <col min="1264" max="1264" width="10.140625" style="44" customWidth="1"/>
    <col min="1265" max="1265" width="10" style="44" customWidth="1"/>
    <col min="1266" max="1266" width="8.42578125" style="44" customWidth="1"/>
    <col min="1267" max="1267" width="10.140625" style="44" customWidth="1"/>
    <col min="1268" max="1268" width="10" style="44" customWidth="1"/>
    <col min="1269" max="1269" width="8.42578125" style="44" customWidth="1"/>
    <col min="1270" max="1270" width="10.140625" style="44" customWidth="1"/>
    <col min="1271" max="1271" width="8.28515625" style="44" customWidth="1"/>
    <col min="1272" max="1272" width="7.7109375" style="44" customWidth="1"/>
    <col min="1273" max="1512" width="9.140625" style="44"/>
    <col min="1513" max="1513" width="7.7109375" style="44" customWidth="1"/>
    <col min="1514" max="1514" width="15.140625" style="44" customWidth="1"/>
    <col min="1515" max="1515" width="10" style="44" customWidth="1"/>
    <col min="1516" max="1516" width="8.42578125" style="44" customWidth="1"/>
    <col min="1517" max="1517" width="10.140625" style="44" customWidth="1"/>
    <col min="1518" max="1518" width="10" style="44" customWidth="1"/>
    <col min="1519" max="1519" width="8.42578125" style="44" customWidth="1"/>
    <col min="1520" max="1520" width="10.140625" style="44" customWidth="1"/>
    <col min="1521" max="1521" width="10" style="44" customWidth="1"/>
    <col min="1522" max="1522" width="8.42578125" style="44" customWidth="1"/>
    <col min="1523" max="1523" width="10.140625" style="44" customWidth="1"/>
    <col min="1524" max="1524" width="10" style="44" customWidth="1"/>
    <col min="1525" max="1525" width="8.42578125" style="44" customWidth="1"/>
    <col min="1526" max="1526" width="10.140625" style="44" customWidth="1"/>
    <col min="1527" max="1527" width="8.28515625" style="44" customWidth="1"/>
    <col min="1528" max="1528" width="7.7109375" style="44" customWidth="1"/>
    <col min="1529" max="1768" width="9.140625" style="44"/>
    <col min="1769" max="1769" width="7.7109375" style="44" customWidth="1"/>
    <col min="1770" max="1770" width="15.140625" style="44" customWidth="1"/>
    <col min="1771" max="1771" width="10" style="44" customWidth="1"/>
    <col min="1772" max="1772" width="8.42578125" style="44" customWidth="1"/>
    <col min="1773" max="1773" width="10.140625" style="44" customWidth="1"/>
    <col min="1774" max="1774" width="10" style="44" customWidth="1"/>
    <col min="1775" max="1775" width="8.42578125" style="44" customWidth="1"/>
    <col min="1776" max="1776" width="10.140625" style="44" customWidth="1"/>
    <col min="1777" max="1777" width="10" style="44" customWidth="1"/>
    <col min="1778" max="1778" width="8.42578125" style="44" customWidth="1"/>
    <col min="1779" max="1779" width="10.140625" style="44" customWidth="1"/>
    <col min="1780" max="1780" width="10" style="44" customWidth="1"/>
    <col min="1781" max="1781" width="8.42578125" style="44" customWidth="1"/>
    <col min="1782" max="1782" width="10.140625" style="44" customWidth="1"/>
    <col min="1783" max="1783" width="8.28515625" style="44" customWidth="1"/>
    <col min="1784" max="1784" width="7.7109375" style="44" customWidth="1"/>
    <col min="1785" max="2024" width="9.140625" style="44"/>
    <col min="2025" max="2025" width="7.7109375" style="44" customWidth="1"/>
    <col min="2026" max="2026" width="15.140625" style="44" customWidth="1"/>
    <col min="2027" max="2027" width="10" style="44" customWidth="1"/>
    <col min="2028" max="2028" width="8.42578125" style="44" customWidth="1"/>
    <col min="2029" max="2029" width="10.140625" style="44" customWidth="1"/>
    <col min="2030" max="2030" width="10" style="44" customWidth="1"/>
    <col min="2031" max="2031" width="8.42578125" style="44" customWidth="1"/>
    <col min="2032" max="2032" width="10.140625" style="44" customWidth="1"/>
    <col min="2033" max="2033" width="10" style="44" customWidth="1"/>
    <col min="2034" max="2034" width="8.42578125" style="44" customWidth="1"/>
    <col min="2035" max="2035" width="10.140625" style="44" customWidth="1"/>
    <col min="2036" max="2036" width="10" style="44" customWidth="1"/>
    <col min="2037" max="2037" width="8.42578125" style="44" customWidth="1"/>
    <col min="2038" max="2038" width="10.140625" style="44" customWidth="1"/>
    <col min="2039" max="2039" width="8.28515625" style="44" customWidth="1"/>
    <col min="2040" max="2040" width="7.7109375" style="44" customWidth="1"/>
    <col min="2041" max="2280" width="9.140625" style="44"/>
    <col min="2281" max="2281" width="7.7109375" style="44" customWidth="1"/>
    <col min="2282" max="2282" width="15.140625" style="44" customWidth="1"/>
    <col min="2283" max="2283" width="10" style="44" customWidth="1"/>
    <col min="2284" max="2284" width="8.42578125" style="44" customWidth="1"/>
    <col min="2285" max="2285" width="10.140625" style="44" customWidth="1"/>
    <col min="2286" max="2286" width="10" style="44" customWidth="1"/>
    <col min="2287" max="2287" width="8.42578125" style="44" customWidth="1"/>
    <col min="2288" max="2288" width="10.140625" style="44" customWidth="1"/>
    <col min="2289" max="2289" width="10" style="44" customWidth="1"/>
    <col min="2290" max="2290" width="8.42578125" style="44" customWidth="1"/>
    <col min="2291" max="2291" width="10.140625" style="44" customWidth="1"/>
    <col min="2292" max="2292" width="10" style="44" customWidth="1"/>
    <col min="2293" max="2293" width="8.42578125" style="44" customWidth="1"/>
    <col min="2294" max="2294" width="10.140625" style="44" customWidth="1"/>
    <col min="2295" max="2295" width="8.28515625" style="44" customWidth="1"/>
    <col min="2296" max="2296" width="7.7109375" style="44" customWidth="1"/>
    <col min="2297" max="2536" width="9.140625" style="44"/>
    <col min="2537" max="2537" width="7.7109375" style="44" customWidth="1"/>
    <col min="2538" max="2538" width="15.140625" style="44" customWidth="1"/>
    <col min="2539" max="2539" width="10" style="44" customWidth="1"/>
    <col min="2540" max="2540" width="8.42578125" style="44" customWidth="1"/>
    <col min="2541" max="2541" width="10.140625" style="44" customWidth="1"/>
    <col min="2542" max="2542" width="10" style="44" customWidth="1"/>
    <col min="2543" max="2543" width="8.42578125" style="44" customWidth="1"/>
    <col min="2544" max="2544" width="10.140625" style="44" customWidth="1"/>
    <col min="2545" max="2545" width="10" style="44" customWidth="1"/>
    <col min="2546" max="2546" width="8.42578125" style="44" customWidth="1"/>
    <col min="2547" max="2547" width="10.140625" style="44" customWidth="1"/>
    <col min="2548" max="2548" width="10" style="44" customWidth="1"/>
    <col min="2549" max="2549" width="8.42578125" style="44" customWidth="1"/>
    <col min="2550" max="2550" width="10.140625" style="44" customWidth="1"/>
    <col min="2551" max="2551" width="8.28515625" style="44" customWidth="1"/>
    <col min="2552" max="2552" width="7.7109375" style="44" customWidth="1"/>
    <col min="2553" max="2792" width="9.140625" style="44"/>
    <col min="2793" max="2793" width="7.7109375" style="44" customWidth="1"/>
    <col min="2794" max="2794" width="15.140625" style="44" customWidth="1"/>
    <col min="2795" max="2795" width="10" style="44" customWidth="1"/>
    <col min="2796" max="2796" width="8.42578125" style="44" customWidth="1"/>
    <col min="2797" max="2797" width="10.140625" style="44" customWidth="1"/>
    <col min="2798" max="2798" width="10" style="44" customWidth="1"/>
    <col min="2799" max="2799" width="8.42578125" style="44" customWidth="1"/>
    <col min="2800" max="2800" width="10.140625" style="44" customWidth="1"/>
    <col min="2801" max="2801" width="10" style="44" customWidth="1"/>
    <col min="2802" max="2802" width="8.42578125" style="44" customWidth="1"/>
    <col min="2803" max="2803" width="10.140625" style="44" customWidth="1"/>
    <col min="2804" max="2804" width="10" style="44" customWidth="1"/>
    <col min="2805" max="2805" width="8.42578125" style="44" customWidth="1"/>
    <col min="2806" max="2806" width="10.140625" style="44" customWidth="1"/>
    <col min="2807" max="2807" width="8.28515625" style="44" customWidth="1"/>
    <col min="2808" max="2808" width="7.7109375" style="44" customWidth="1"/>
    <col min="2809" max="3048" width="9.140625" style="44"/>
    <col min="3049" max="3049" width="7.7109375" style="44" customWidth="1"/>
    <col min="3050" max="3050" width="15.140625" style="44" customWidth="1"/>
    <col min="3051" max="3051" width="10" style="44" customWidth="1"/>
    <col min="3052" max="3052" width="8.42578125" style="44" customWidth="1"/>
    <col min="3053" max="3053" width="10.140625" style="44" customWidth="1"/>
    <col min="3054" max="3054" width="10" style="44" customWidth="1"/>
    <col min="3055" max="3055" width="8.42578125" style="44" customWidth="1"/>
    <col min="3056" max="3056" width="10.140625" style="44" customWidth="1"/>
    <col min="3057" max="3057" width="10" style="44" customWidth="1"/>
    <col min="3058" max="3058" width="8.42578125" style="44" customWidth="1"/>
    <col min="3059" max="3059" width="10.140625" style="44" customWidth="1"/>
    <col min="3060" max="3060" width="10" style="44" customWidth="1"/>
    <col min="3061" max="3061" width="8.42578125" style="44" customWidth="1"/>
    <col min="3062" max="3062" width="10.140625" style="44" customWidth="1"/>
    <col min="3063" max="3063" width="8.28515625" style="44" customWidth="1"/>
    <col min="3064" max="3064" width="7.7109375" style="44" customWidth="1"/>
    <col min="3065" max="3304" width="9.140625" style="44"/>
    <col min="3305" max="3305" width="7.7109375" style="44" customWidth="1"/>
    <col min="3306" max="3306" width="15.140625" style="44" customWidth="1"/>
    <col min="3307" max="3307" width="10" style="44" customWidth="1"/>
    <col min="3308" max="3308" width="8.42578125" style="44" customWidth="1"/>
    <col min="3309" max="3309" width="10.140625" style="44" customWidth="1"/>
    <col min="3310" max="3310" width="10" style="44" customWidth="1"/>
    <col min="3311" max="3311" width="8.42578125" style="44" customWidth="1"/>
    <col min="3312" max="3312" width="10.140625" style="44" customWidth="1"/>
    <col min="3313" max="3313" width="10" style="44" customWidth="1"/>
    <col min="3314" max="3314" width="8.42578125" style="44" customWidth="1"/>
    <col min="3315" max="3315" width="10.140625" style="44" customWidth="1"/>
    <col min="3316" max="3316" width="10" style="44" customWidth="1"/>
    <col min="3317" max="3317" width="8.42578125" style="44" customWidth="1"/>
    <col min="3318" max="3318" width="10.140625" style="44" customWidth="1"/>
    <col min="3319" max="3319" width="8.28515625" style="44" customWidth="1"/>
    <col min="3320" max="3320" width="7.7109375" style="44" customWidth="1"/>
    <col min="3321" max="3560" width="9.140625" style="44"/>
    <col min="3561" max="3561" width="7.7109375" style="44" customWidth="1"/>
    <col min="3562" max="3562" width="15.140625" style="44" customWidth="1"/>
    <col min="3563" max="3563" width="10" style="44" customWidth="1"/>
    <col min="3564" max="3564" width="8.42578125" style="44" customWidth="1"/>
    <col min="3565" max="3565" width="10.140625" style="44" customWidth="1"/>
    <col min="3566" max="3566" width="10" style="44" customWidth="1"/>
    <col min="3567" max="3567" width="8.42578125" style="44" customWidth="1"/>
    <col min="3568" max="3568" width="10.140625" style="44" customWidth="1"/>
    <col min="3569" max="3569" width="10" style="44" customWidth="1"/>
    <col min="3570" max="3570" width="8.42578125" style="44" customWidth="1"/>
    <col min="3571" max="3571" width="10.140625" style="44" customWidth="1"/>
    <col min="3572" max="3572" width="10" style="44" customWidth="1"/>
    <col min="3573" max="3573" width="8.42578125" style="44" customWidth="1"/>
    <col min="3574" max="3574" width="10.140625" style="44" customWidth="1"/>
    <col min="3575" max="3575" width="8.28515625" style="44" customWidth="1"/>
    <col min="3576" max="3576" width="7.7109375" style="44" customWidth="1"/>
    <col min="3577" max="3816" width="9.140625" style="44"/>
    <col min="3817" max="3817" width="7.7109375" style="44" customWidth="1"/>
    <col min="3818" max="3818" width="15.140625" style="44" customWidth="1"/>
    <col min="3819" max="3819" width="10" style="44" customWidth="1"/>
    <col min="3820" max="3820" width="8.42578125" style="44" customWidth="1"/>
    <col min="3821" max="3821" width="10.140625" style="44" customWidth="1"/>
    <col min="3822" max="3822" width="10" style="44" customWidth="1"/>
    <col min="3823" max="3823" width="8.42578125" style="44" customWidth="1"/>
    <col min="3824" max="3824" width="10.140625" style="44" customWidth="1"/>
    <col min="3825" max="3825" width="10" style="44" customWidth="1"/>
    <col min="3826" max="3826" width="8.42578125" style="44" customWidth="1"/>
    <col min="3827" max="3827" width="10.140625" style="44" customWidth="1"/>
    <col min="3828" max="3828" width="10" style="44" customWidth="1"/>
    <col min="3829" max="3829" width="8.42578125" style="44" customWidth="1"/>
    <col min="3830" max="3830" width="10.140625" style="44" customWidth="1"/>
    <col min="3831" max="3831" width="8.28515625" style="44" customWidth="1"/>
    <col min="3832" max="3832" width="7.7109375" style="44" customWidth="1"/>
    <col min="3833" max="4072" width="9.140625" style="44"/>
    <col min="4073" max="4073" width="7.7109375" style="44" customWidth="1"/>
    <col min="4074" max="4074" width="15.140625" style="44" customWidth="1"/>
    <col min="4075" max="4075" width="10" style="44" customWidth="1"/>
    <col min="4076" max="4076" width="8.42578125" style="44" customWidth="1"/>
    <col min="4077" max="4077" width="10.140625" style="44" customWidth="1"/>
    <col min="4078" max="4078" width="10" style="44" customWidth="1"/>
    <col min="4079" max="4079" width="8.42578125" style="44" customWidth="1"/>
    <col min="4080" max="4080" width="10.140625" style="44" customWidth="1"/>
    <col min="4081" max="4081" width="10" style="44" customWidth="1"/>
    <col min="4082" max="4082" width="8.42578125" style="44" customWidth="1"/>
    <col min="4083" max="4083" width="10.140625" style="44" customWidth="1"/>
    <col min="4084" max="4084" width="10" style="44" customWidth="1"/>
    <col min="4085" max="4085" width="8.42578125" style="44" customWidth="1"/>
    <col min="4086" max="4086" width="10.140625" style="44" customWidth="1"/>
    <col min="4087" max="4087" width="8.28515625" style="44" customWidth="1"/>
    <col min="4088" max="4088" width="7.7109375" style="44" customWidth="1"/>
    <col min="4089" max="4328" width="9.140625" style="44"/>
    <col min="4329" max="4329" width="7.7109375" style="44" customWidth="1"/>
    <col min="4330" max="4330" width="15.140625" style="44" customWidth="1"/>
    <col min="4331" max="4331" width="10" style="44" customWidth="1"/>
    <col min="4332" max="4332" width="8.42578125" style="44" customWidth="1"/>
    <col min="4333" max="4333" width="10.140625" style="44" customWidth="1"/>
    <col min="4334" max="4334" width="10" style="44" customWidth="1"/>
    <col min="4335" max="4335" width="8.42578125" style="44" customWidth="1"/>
    <col min="4336" max="4336" width="10.140625" style="44" customWidth="1"/>
    <col min="4337" max="4337" width="10" style="44" customWidth="1"/>
    <col min="4338" max="4338" width="8.42578125" style="44" customWidth="1"/>
    <col min="4339" max="4339" width="10.140625" style="44" customWidth="1"/>
    <col min="4340" max="4340" width="10" style="44" customWidth="1"/>
    <col min="4341" max="4341" width="8.42578125" style="44" customWidth="1"/>
    <col min="4342" max="4342" width="10.140625" style="44" customWidth="1"/>
    <col min="4343" max="4343" width="8.28515625" style="44" customWidth="1"/>
    <col min="4344" max="4344" width="7.7109375" style="44" customWidth="1"/>
    <col min="4345" max="4584" width="9.140625" style="44"/>
    <col min="4585" max="4585" width="7.7109375" style="44" customWidth="1"/>
    <col min="4586" max="4586" width="15.140625" style="44" customWidth="1"/>
    <col min="4587" max="4587" width="10" style="44" customWidth="1"/>
    <col min="4588" max="4588" width="8.42578125" style="44" customWidth="1"/>
    <col min="4589" max="4589" width="10.140625" style="44" customWidth="1"/>
    <col min="4590" max="4590" width="10" style="44" customWidth="1"/>
    <col min="4591" max="4591" width="8.42578125" style="44" customWidth="1"/>
    <col min="4592" max="4592" width="10.140625" style="44" customWidth="1"/>
    <col min="4593" max="4593" width="10" style="44" customWidth="1"/>
    <col min="4594" max="4594" width="8.42578125" style="44" customWidth="1"/>
    <col min="4595" max="4595" width="10.140625" style="44" customWidth="1"/>
    <col min="4596" max="4596" width="10" style="44" customWidth="1"/>
    <col min="4597" max="4597" width="8.42578125" style="44" customWidth="1"/>
    <col min="4598" max="4598" width="10.140625" style="44" customWidth="1"/>
    <col min="4599" max="4599" width="8.28515625" style="44" customWidth="1"/>
    <col min="4600" max="4600" width="7.7109375" style="44" customWidth="1"/>
    <col min="4601" max="4840" width="9.140625" style="44"/>
    <col min="4841" max="4841" width="7.7109375" style="44" customWidth="1"/>
    <col min="4842" max="4842" width="15.140625" style="44" customWidth="1"/>
    <col min="4843" max="4843" width="10" style="44" customWidth="1"/>
    <col min="4844" max="4844" width="8.42578125" style="44" customWidth="1"/>
    <col min="4845" max="4845" width="10.140625" style="44" customWidth="1"/>
    <col min="4846" max="4846" width="10" style="44" customWidth="1"/>
    <col min="4847" max="4847" width="8.42578125" style="44" customWidth="1"/>
    <col min="4848" max="4848" width="10.140625" style="44" customWidth="1"/>
    <col min="4849" max="4849" width="10" style="44" customWidth="1"/>
    <col min="4850" max="4850" width="8.42578125" style="44" customWidth="1"/>
    <col min="4851" max="4851" width="10.140625" style="44" customWidth="1"/>
    <col min="4852" max="4852" width="10" style="44" customWidth="1"/>
    <col min="4853" max="4853" width="8.42578125" style="44" customWidth="1"/>
    <col min="4854" max="4854" width="10.140625" style="44" customWidth="1"/>
    <col min="4855" max="4855" width="8.28515625" style="44" customWidth="1"/>
    <col min="4856" max="4856" width="7.7109375" style="44" customWidth="1"/>
    <col min="4857" max="5096" width="9.140625" style="44"/>
    <col min="5097" max="5097" width="7.7109375" style="44" customWidth="1"/>
    <col min="5098" max="5098" width="15.140625" style="44" customWidth="1"/>
    <col min="5099" max="5099" width="10" style="44" customWidth="1"/>
    <col min="5100" max="5100" width="8.42578125" style="44" customWidth="1"/>
    <col min="5101" max="5101" width="10.140625" style="44" customWidth="1"/>
    <col min="5102" max="5102" width="10" style="44" customWidth="1"/>
    <col min="5103" max="5103" width="8.42578125" style="44" customWidth="1"/>
    <col min="5104" max="5104" width="10.140625" style="44" customWidth="1"/>
    <col min="5105" max="5105" width="10" style="44" customWidth="1"/>
    <col min="5106" max="5106" width="8.42578125" style="44" customWidth="1"/>
    <col min="5107" max="5107" width="10.140625" style="44" customWidth="1"/>
    <col min="5108" max="5108" width="10" style="44" customWidth="1"/>
    <col min="5109" max="5109" width="8.42578125" style="44" customWidth="1"/>
    <col min="5110" max="5110" width="10.140625" style="44" customWidth="1"/>
    <col min="5111" max="5111" width="8.28515625" style="44" customWidth="1"/>
    <col min="5112" max="5112" width="7.7109375" style="44" customWidth="1"/>
    <col min="5113" max="5352" width="9.140625" style="44"/>
    <col min="5353" max="5353" width="7.7109375" style="44" customWidth="1"/>
    <col min="5354" max="5354" width="15.140625" style="44" customWidth="1"/>
    <col min="5355" max="5355" width="10" style="44" customWidth="1"/>
    <col min="5356" max="5356" width="8.42578125" style="44" customWidth="1"/>
    <col min="5357" max="5357" width="10.140625" style="44" customWidth="1"/>
    <col min="5358" max="5358" width="10" style="44" customWidth="1"/>
    <col min="5359" max="5359" width="8.42578125" style="44" customWidth="1"/>
    <col min="5360" max="5360" width="10.140625" style="44" customWidth="1"/>
    <col min="5361" max="5361" width="10" style="44" customWidth="1"/>
    <col min="5362" max="5362" width="8.42578125" style="44" customWidth="1"/>
    <col min="5363" max="5363" width="10.140625" style="44" customWidth="1"/>
    <col min="5364" max="5364" width="10" style="44" customWidth="1"/>
    <col min="5365" max="5365" width="8.42578125" style="44" customWidth="1"/>
    <col min="5366" max="5366" width="10.140625" style="44" customWidth="1"/>
    <col min="5367" max="5367" width="8.28515625" style="44" customWidth="1"/>
    <col min="5368" max="5368" width="7.7109375" style="44" customWidth="1"/>
    <col min="5369" max="5608" width="9.140625" style="44"/>
    <col min="5609" max="5609" width="7.7109375" style="44" customWidth="1"/>
    <col min="5610" max="5610" width="15.140625" style="44" customWidth="1"/>
    <col min="5611" max="5611" width="10" style="44" customWidth="1"/>
    <col min="5612" max="5612" width="8.42578125" style="44" customWidth="1"/>
    <col min="5613" max="5613" width="10.140625" style="44" customWidth="1"/>
    <col min="5614" max="5614" width="10" style="44" customWidth="1"/>
    <col min="5615" max="5615" width="8.42578125" style="44" customWidth="1"/>
    <col min="5616" max="5616" width="10.140625" style="44" customWidth="1"/>
    <col min="5617" max="5617" width="10" style="44" customWidth="1"/>
    <col min="5618" max="5618" width="8.42578125" style="44" customWidth="1"/>
    <col min="5619" max="5619" width="10.140625" style="44" customWidth="1"/>
    <col min="5620" max="5620" width="10" style="44" customWidth="1"/>
    <col min="5621" max="5621" width="8.42578125" style="44" customWidth="1"/>
    <col min="5622" max="5622" width="10.140625" style="44" customWidth="1"/>
    <col min="5623" max="5623" width="8.28515625" style="44" customWidth="1"/>
    <col min="5624" max="5624" width="7.7109375" style="44" customWidth="1"/>
    <col min="5625" max="5864" width="9.140625" style="44"/>
    <col min="5865" max="5865" width="7.7109375" style="44" customWidth="1"/>
    <col min="5866" max="5866" width="15.140625" style="44" customWidth="1"/>
    <col min="5867" max="5867" width="10" style="44" customWidth="1"/>
    <col min="5868" max="5868" width="8.42578125" style="44" customWidth="1"/>
    <col min="5869" max="5869" width="10.140625" style="44" customWidth="1"/>
    <col min="5870" max="5870" width="10" style="44" customWidth="1"/>
    <col min="5871" max="5871" width="8.42578125" style="44" customWidth="1"/>
    <col min="5872" max="5872" width="10.140625" style="44" customWidth="1"/>
    <col min="5873" max="5873" width="10" style="44" customWidth="1"/>
    <col min="5874" max="5874" width="8.42578125" style="44" customWidth="1"/>
    <col min="5875" max="5875" width="10.140625" style="44" customWidth="1"/>
    <col min="5876" max="5876" width="10" style="44" customWidth="1"/>
    <col min="5877" max="5877" width="8.42578125" style="44" customWidth="1"/>
    <col min="5878" max="5878" width="10.140625" style="44" customWidth="1"/>
    <col min="5879" max="5879" width="8.28515625" style="44" customWidth="1"/>
    <col min="5880" max="5880" width="7.7109375" style="44" customWidth="1"/>
    <col min="5881" max="6120" width="9.140625" style="44"/>
    <col min="6121" max="6121" width="7.7109375" style="44" customWidth="1"/>
    <col min="6122" max="6122" width="15.140625" style="44" customWidth="1"/>
    <col min="6123" max="6123" width="10" style="44" customWidth="1"/>
    <col min="6124" max="6124" width="8.42578125" style="44" customWidth="1"/>
    <col min="6125" max="6125" width="10.140625" style="44" customWidth="1"/>
    <col min="6126" max="6126" width="10" style="44" customWidth="1"/>
    <col min="6127" max="6127" width="8.42578125" style="44" customWidth="1"/>
    <col min="6128" max="6128" width="10.140625" style="44" customWidth="1"/>
    <col min="6129" max="6129" width="10" style="44" customWidth="1"/>
    <col min="6130" max="6130" width="8.42578125" style="44" customWidth="1"/>
    <col min="6131" max="6131" width="10.140625" style="44" customWidth="1"/>
    <col min="6132" max="6132" width="10" style="44" customWidth="1"/>
    <col min="6133" max="6133" width="8.42578125" style="44" customWidth="1"/>
    <col min="6134" max="6134" width="10.140625" style="44" customWidth="1"/>
    <col min="6135" max="6135" width="8.28515625" style="44" customWidth="1"/>
    <col min="6136" max="6136" width="7.7109375" style="44" customWidth="1"/>
    <col min="6137" max="6376" width="9.140625" style="44"/>
    <col min="6377" max="6377" width="7.7109375" style="44" customWidth="1"/>
    <col min="6378" max="6378" width="15.140625" style="44" customWidth="1"/>
    <col min="6379" max="6379" width="10" style="44" customWidth="1"/>
    <col min="6380" max="6380" width="8.42578125" style="44" customWidth="1"/>
    <col min="6381" max="6381" width="10.140625" style="44" customWidth="1"/>
    <col min="6382" max="6382" width="10" style="44" customWidth="1"/>
    <col min="6383" max="6383" width="8.42578125" style="44" customWidth="1"/>
    <col min="6384" max="6384" width="10.140625" style="44" customWidth="1"/>
    <col min="6385" max="6385" width="10" style="44" customWidth="1"/>
    <col min="6386" max="6386" width="8.42578125" style="44" customWidth="1"/>
    <col min="6387" max="6387" width="10.140625" style="44" customWidth="1"/>
    <col min="6388" max="6388" width="10" style="44" customWidth="1"/>
    <col min="6389" max="6389" width="8.42578125" style="44" customWidth="1"/>
    <col min="6390" max="6390" width="10.140625" style="44" customWidth="1"/>
    <col min="6391" max="6391" width="8.28515625" style="44" customWidth="1"/>
    <col min="6392" max="6392" width="7.7109375" style="44" customWidth="1"/>
    <col min="6393" max="6632" width="9.140625" style="44"/>
    <col min="6633" max="6633" width="7.7109375" style="44" customWidth="1"/>
    <col min="6634" max="6634" width="15.140625" style="44" customWidth="1"/>
    <col min="6635" max="6635" width="10" style="44" customWidth="1"/>
    <col min="6636" max="6636" width="8.42578125" style="44" customWidth="1"/>
    <col min="6637" max="6637" width="10.140625" style="44" customWidth="1"/>
    <col min="6638" max="6638" width="10" style="44" customWidth="1"/>
    <col min="6639" max="6639" width="8.42578125" style="44" customWidth="1"/>
    <col min="6640" max="6640" width="10.140625" style="44" customWidth="1"/>
    <col min="6641" max="6641" width="10" style="44" customWidth="1"/>
    <col min="6642" max="6642" width="8.42578125" style="44" customWidth="1"/>
    <col min="6643" max="6643" width="10.140625" style="44" customWidth="1"/>
    <col min="6644" max="6644" width="10" style="44" customWidth="1"/>
    <col min="6645" max="6645" width="8.42578125" style="44" customWidth="1"/>
    <col min="6646" max="6646" width="10.140625" style="44" customWidth="1"/>
    <col min="6647" max="6647" width="8.28515625" style="44" customWidth="1"/>
    <col min="6648" max="6648" width="7.7109375" style="44" customWidth="1"/>
    <col min="6649" max="6888" width="9.140625" style="44"/>
    <col min="6889" max="6889" width="7.7109375" style="44" customWidth="1"/>
    <col min="6890" max="6890" width="15.140625" style="44" customWidth="1"/>
    <col min="6891" max="6891" width="10" style="44" customWidth="1"/>
    <col min="6892" max="6892" width="8.42578125" style="44" customWidth="1"/>
    <col min="6893" max="6893" width="10.140625" style="44" customWidth="1"/>
    <col min="6894" max="6894" width="10" style="44" customWidth="1"/>
    <col min="6895" max="6895" width="8.42578125" style="44" customWidth="1"/>
    <col min="6896" max="6896" width="10.140625" style="44" customWidth="1"/>
    <col min="6897" max="6897" width="10" style="44" customWidth="1"/>
    <col min="6898" max="6898" width="8.42578125" style="44" customWidth="1"/>
    <col min="6899" max="6899" width="10.140625" style="44" customWidth="1"/>
    <col min="6900" max="6900" width="10" style="44" customWidth="1"/>
    <col min="6901" max="6901" width="8.42578125" style="44" customWidth="1"/>
    <col min="6902" max="6902" width="10.140625" style="44" customWidth="1"/>
    <col min="6903" max="6903" width="8.28515625" style="44" customWidth="1"/>
    <col min="6904" max="6904" width="7.7109375" style="44" customWidth="1"/>
    <col min="6905" max="7144" width="9.140625" style="44"/>
    <col min="7145" max="7145" width="7.7109375" style="44" customWidth="1"/>
    <col min="7146" max="7146" width="15.140625" style="44" customWidth="1"/>
    <col min="7147" max="7147" width="10" style="44" customWidth="1"/>
    <col min="7148" max="7148" width="8.42578125" style="44" customWidth="1"/>
    <col min="7149" max="7149" width="10.140625" style="44" customWidth="1"/>
    <col min="7150" max="7150" width="10" style="44" customWidth="1"/>
    <col min="7151" max="7151" width="8.42578125" style="44" customWidth="1"/>
    <col min="7152" max="7152" width="10.140625" style="44" customWidth="1"/>
    <col min="7153" max="7153" width="10" style="44" customWidth="1"/>
    <col min="7154" max="7154" width="8.42578125" style="44" customWidth="1"/>
    <col min="7155" max="7155" width="10.140625" style="44" customWidth="1"/>
    <col min="7156" max="7156" width="10" style="44" customWidth="1"/>
    <col min="7157" max="7157" width="8.42578125" style="44" customWidth="1"/>
    <col min="7158" max="7158" width="10.140625" style="44" customWidth="1"/>
    <col min="7159" max="7159" width="8.28515625" style="44" customWidth="1"/>
    <col min="7160" max="7160" width="7.7109375" style="44" customWidth="1"/>
    <col min="7161" max="7400" width="9.140625" style="44"/>
    <col min="7401" max="7401" width="7.7109375" style="44" customWidth="1"/>
    <col min="7402" max="7402" width="15.140625" style="44" customWidth="1"/>
    <col min="7403" max="7403" width="10" style="44" customWidth="1"/>
    <col min="7404" max="7404" width="8.42578125" style="44" customWidth="1"/>
    <col min="7405" max="7405" width="10.140625" style="44" customWidth="1"/>
    <col min="7406" max="7406" width="10" style="44" customWidth="1"/>
    <col min="7407" max="7407" width="8.42578125" style="44" customWidth="1"/>
    <col min="7408" max="7408" width="10.140625" style="44" customWidth="1"/>
    <col min="7409" max="7409" width="10" style="44" customWidth="1"/>
    <col min="7410" max="7410" width="8.42578125" style="44" customWidth="1"/>
    <col min="7411" max="7411" width="10.140625" style="44" customWidth="1"/>
    <col min="7412" max="7412" width="10" style="44" customWidth="1"/>
    <col min="7413" max="7413" width="8.42578125" style="44" customWidth="1"/>
    <col min="7414" max="7414" width="10.140625" style="44" customWidth="1"/>
    <col min="7415" max="7415" width="8.28515625" style="44" customWidth="1"/>
    <col min="7416" max="7416" width="7.7109375" style="44" customWidth="1"/>
    <col min="7417" max="7656" width="9.140625" style="44"/>
    <col min="7657" max="7657" width="7.7109375" style="44" customWidth="1"/>
    <col min="7658" max="7658" width="15.140625" style="44" customWidth="1"/>
    <col min="7659" max="7659" width="10" style="44" customWidth="1"/>
    <col min="7660" max="7660" width="8.42578125" style="44" customWidth="1"/>
    <col min="7661" max="7661" width="10.140625" style="44" customWidth="1"/>
    <col min="7662" max="7662" width="10" style="44" customWidth="1"/>
    <col min="7663" max="7663" width="8.42578125" style="44" customWidth="1"/>
    <col min="7664" max="7664" width="10.140625" style="44" customWidth="1"/>
    <col min="7665" max="7665" width="10" style="44" customWidth="1"/>
    <col min="7666" max="7666" width="8.42578125" style="44" customWidth="1"/>
    <col min="7667" max="7667" width="10.140625" style="44" customWidth="1"/>
    <col min="7668" max="7668" width="10" style="44" customWidth="1"/>
    <col min="7669" max="7669" width="8.42578125" style="44" customWidth="1"/>
    <col min="7670" max="7670" width="10.140625" style="44" customWidth="1"/>
    <col min="7671" max="7671" width="8.28515625" style="44" customWidth="1"/>
    <col min="7672" max="7672" width="7.7109375" style="44" customWidth="1"/>
    <col min="7673" max="7912" width="9.140625" style="44"/>
    <col min="7913" max="7913" width="7.7109375" style="44" customWidth="1"/>
    <col min="7914" max="7914" width="15.140625" style="44" customWidth="1"/>
    <col min="7915" max="7915" width="10" style="44" customWidth="1"/>
    <col min="7916" max="7916" width="8.42578125" style="44" customWidth="1"/>
    <col min="7917" max="7917" width="10.140625" style="44" customWidth="1"/>
    <col min="7918" max="7918" width="10" style="44" customWidth="1"/>
    <col min="7919" max="7919" width="8.42578125" style="44" customWidth="1"/>
    <col min="7920" max="7920" width="10.140625" style="44" customWidth="1"/>
    <col min="7921" max="7921" width="10" style="44" customWidth="1"/>
    <col min="7922" max="7922" width="8.42578125" style="44" customWidth="1"/>
    <col min="7923" max="7923" width="10.140625" style="44" customWidth="1"/>
    <col min="7924" max="7924" width="10" style="44" customWidth="1"/>
    <col min="7925" max="7925" width="8.42578125" style="44" customWidth="1"/>
    <col min="7926" max="7926" width="10.140625" style="44" customWidth="1"/>
    <col min="7927" max="7927" width="8.28515625" style="44" customWidth="1"/>
    <col min="7928" max="7928" width="7.7109375" style="44" customWidth="1"/>
    <col min="7929" max="8168" width="9.140625" style="44"/>
    <col min="8169" max="8169" width="7.7109375" style="44" customWidth="1"/>
    <col min="8170" max="8170" width="15.140625" style="44" customWidth="1"/>
    <col min="8171" max="8171" width="10" style="44" customWidth="1"/>
    <col min="8172" max="8172" width="8.42578125" style="44" customWidth="1"/>
    <col min="8173" max="8173" width="10.140625" style="44" customWidth="1"/>
    <col min="8174" max="8174" width="10" style="44" customWidth="1"/>
    <col min="8175" max="8175" width="8.42578125" style="44" customWidth="1"/>
    <col min="8176" max="8176" width="10.140625" style="44" customWidth="1"/>
    <col min="8177" max="8177" width="10" style="44" customWidth="1"/>
    <col min="8178" max="8178" width="8.42578125" style="44" customWidth="1"/>
    <col min="8179" max="8179" width="10.140625" style="44" customWidth="1"/>
    <col min="8180" max="8180" width="10" style="44" customWidth="1"/>
    <col min="8181" max="8181" width="8.42578125" style="44" customWidth="1"/>
    <col min="8182" max="8182" width="10.140625" style="44" customWidth="1"/>
    <col min="8183" max="8183" width="8.28515625" style="44" customWidth="1"/>
    <col min="8184" max="8184" width="7.7109375" style="44" customWidth="1"/>
    <col min="8185" max="8424" width="9.140625" style="44"/>
    <col min="8425" max="8425" width="7.7109375" style="44" customWidth="1"/>
    <col min="8426" max="8426" width="15.140625" style="44" customWidth="1"/>
    <col min="8427" max="8427" width="10" style="44" customWidth="1"/>
    <col min="8428" max="8428" width="8.42578125" style="44" customWidth="1"/>
    <col min="8429" max="8429" width="10.140625" style="44" customWidth="1"/>
    <col min="8430" max="8430" width="10" style="44" customWidth="1"/>
    <col min="8431" max="8431" width="8.42578125" style="44" customWidth="1"/>
    <col min="8432" max="8432" width="10.140625" style="44" customWidth="1"/>
    <col min="8433" max="8433" width="10" style="44" customWidth="1"/>
    <col min="8434" max="8434" width="8.42578125" style="44" customWidth="1"/>
    <col min="8435" max="8435" width="10.140625" style="44" customWidth="1"/>
    <col min="8436" max="8436" width="10" style="44" customWidth="1"/>
    <col min="8437" max="8437" width="8.42578125" style="44" customWidth="1"/>
    <col min="8438" max="8438" width="10.140625" style="44" customWidth="1"/>
    <col min="8439" max="8439" width="8.28515625" style="44" customWidth="1"/>
    <col min="8440" max="8440" width="7.7109375" style="44" customWidth="1"/>
    <col min="8441" max="8680" width="9.140625" style="44"/>
    <col min="8681" max="8681" width="7.7109375" style="44" customWidth="1"/>
    <col min="8682" max="8682" width="15.140625" style="44" customWidth="1"/>
    <col min="8683" max="8683" width="10" style="44" customWidth="1"/>
    <col min="8684" max="8684" width="8.42578125" style="44" customWidth="1"/>
    <col min="8685" max="8685" width="10.140625" style="44" customWidth="1"/>
    <col min="8686" max="8686" width="10" style="44" customWidth="1"/>
    <col min="8687" max="8687" width="8.42578125" style="44" customWidth="1"/>
    <col min="8688" max="8688" width="10.140625" style="44" customWidth="1"/>
    <col min="8689" max="8689" width="10" style="44" customWidth="1"/>
    <col min="8690" max="8690" width="8.42578125" style="44" customWidth="1"/>
    <col min="8691" max="8691" width="10.140625" style="44" customWidth="1"/>
    <col min="8692" max="8692" width="10" style="44" customWidth="1"/>
    <col min="8693" max="8693" width="8.42578125" style="44" customWidth="1"/>
    <col min="8694" max="8694" width="10.140625" style="44" customWidth="1"/>
    <col min="8695" max="8695" width="8.28515625" style="44" customWidth="1"/>
    <col min="8696" max="8696" width="7.7109375" style="44" customWidth="1"/>
    <col min="8697" max="8936" width="9.140625" style="44"/>
    <col min="8937" max="8937" width="7.7109375" style="44" customWidth="1"/>
    <col min="8938" max="8938" width="15.140625" style="44" customWidth="1"/>
    <col min="8939" max="8939" width="10" style="44" customWidth="1"/>
    <col min="8940" max="8940" width="8.42578125" style="44" customWidth="1"/>
    <col min="8941" max="8941" width="10.140625" style="44" customWidth="1"/>
    <col min="8942" max="8942" width="10" style="44" customWidth="1"/>
    <col min="8943" max="8943" width="8.42578125" style="44" customWidth="1"/>
    <col min="8944" max="8944" width="10.140625" style="44" customWidth="1"/>
    <col min="8945" max="8945" width="10" style="44" customWidth="1"/>
    <col min="8946" max="8946" width="8.42578125" style="44" customWidth="1"/>
    <col min="8947" max="8947" width="10.140625" style="44" customWidth="1"/>
    <col min="8948" max="8948" width="10" style="44" customWidth="1"/>
    <col min="8949" max="8949" width="8.42578125" style="44" customWidth="1"/>
    <col min="8950" max="8950" width="10.140625" style="44" customWidth="1"/>
    <col min="8951" max="8951" width="8.28515625" style="44" customWidth="1"/>
    <col min="8952" max="8952" width="7.7109375" style="44" customWidth="1"/>
    <col min="8953" max="9192" width="9.140625" style="44"/>
    <col min="9193" max="9193" width="7.7109375" style="44" customWidth="1"/>
    <col min="9194" max="9194" width="15.140625" style="44" customWidth="1"/>
    <col min="9195" max="9195" width="10" style="44" customWidth="1"/>
    <col min="9196" max="9196" width="8.42578125" style="44" customWidth="1"/>
    <col min="9197" max="9197" width="10.140625" style="44" customWidth="1"/>
    <col min="9198" max="9198" width="10" style="44" customWidth="1"/>
    <col min="9199" max="9199" width="8.42578125" style="44" customWidth="1"/>
    <col min="9200" max="9200" width="10.140625" style="44" customWidth="1"/>
    <col min="9201" max="9201" width="10" style="44" customWidth="1"/>
    <col min="9202" max="9202" width="8.42578125" style="44" customWidth="1"/>
    <col min="9203" max="9203" width="10.140625" style="44" customWidth="1"/>
    <col min="9204" max="9204" width="10" style="44" customWidth="1"/>
    <col min="9205" max="9205" width="8.42578125" style="44" customWidth="1"/>
    <col min="9206" max="9206" width="10.140625" style="44" customWidth="1"/>
    <col min="9207" max="9207" width="8.28515625" style="44" customWidth="1"/>
    <col min="9208" max="9208" width="7.7109375" style="44" customWidth="1"/>
    <col min="9209" max="9448" width="9.140625" style="44"/>
    <col min="9449" max="9449" width="7.7109375" style="44" customWidth="1"/>
    <col min="9450" max="9450" width="15.140625" style="44" customWidth="1"/>
    <col min="9451" max="9451" width="10" style="44" customWidth="1"/>
    <col min="9452" max="9452" width="8.42578125" style="44" customWidth="1"/>
    <col min="9453" max="9453" width="10.140625" style="44" customWidth="1"/>
    <col min="9454" max="9454" width="10" style="44" customWidth="1"/>
    <col min="9455" max="9455" width="8.42578125" style="44" customWidth="1"/>
    <col min="9456" max="9456" width="10.140625" style="44" customWidth="1"/>
    <col min="9457" max="9457" width="10" style="44" customWidth="1"/>
    <col min="9458" max="9458" width="8.42578125" style="44" customWidth="1"/>
    <col min="9459" max="9459" width="10.140625" style="44" customWidth="1"/>
    <col min="9460" max="9460" width="10" style="44" customWidth="1"/>
    <col min="9461" max="9461" width="8.42578125" style="44" customWidth="1"/>
    <col min="9462" max="9462" width="10.140625" style="44" customWidth="1"/>
    <col min="9463" max="9463" width="8.28515625" style="44" customWidth="1"/>
    <col min="9464" max="9464" width="7.7109375" style="44" customWidth="1"/>
    <col min="9465" max="9704" width="9.140625" style="44"/>
    <col min="9705" max="9705" width="7.7109375" style="44" customWidth="1"/>
    <col min="9706" max="9706" width="15.140625" style="44" customWidth="1"/>
    <col min="9707" max="9707" width="10" style="44" customWidth="1"/>
    <col min="9708" max="9708" width="8.42578125" style="44" customWidth="1"/>
    <col min="9709" max="9709" width="10.140625" style="44" customWidth="1"/>
    <col min="9710" max="9710" width="10" style="44" customWidth="1"/>
    <col min="9711" max="9711" width="8.42578125" style="44" customWidth="1"/>
    <col min="9712" max="9712" width="10.140625" style="44" customWidth="1"/>
    <col min="9713" max="9713" width="10" style="44" customWidth="1"/>
    <col min="9714" max="9714" width="8.42578125" style="44" customWidth="1"/>
    <col min="9715" max="9715" width="10.140625" style="44" customWidth="1"/>
    <col min="9716" max="9716" width="10" style="44" customWidth="1"/>
    <col min="9717" max="9717" width="8.42578125" style="44" customWidth="1"/>
    <col min="9718" max="9718" width="10.140625" style="44" customWidth="1"/>
    <col min="9719" max="9719" width="8.28515625" style="44" customWidth="1"/>
    <col min="9720" max="9720" width="7.7109375" style="44" customWidth="1"/>
    <col min="9721" max="9960" width="9.140625" style="44"/>
    <col min="9961" max="9961" width="7.7109375" style="44" customWidth="1"/>
    <col min="9962" max="9962" width="15.140625" style="44" customWidth="1"/>
    <col min="9963" max="9963" width="10" style="44" customWidth="1"/>
    <col min="9964" max="9964" width="8.42578125" style="44" customWidth="1"/>
    <col min="9965" max="9965" width="10.140625" style="44" customWidth="1"/>
    <col min="9966" max="9966" width="10" style="44" customWidth="1"/>
    <col min="9967" max="9967" width="8.42578125" style="44" customWidth="1"/>
    <col min="9968" max="9968" width="10.140625" style="44" customWidth="1"/>
    <col min="9969" max="9969" width="10" style="44" customWidth="1"/>
    <col min="9970" max="9970" width="8.42578125" style="44" customWidth="1"/>
    <col min="9971" max="9971" width="10.140625" style="44" customWidth="1"/>
    <col min="9972" max="9972" width="10" style="44" customWidth="1"/>
    <col min="9973" max="9973" width="8.42578125" style="44" customWidth="1"/>
    <col min="9974" max="9974" width="10.140625" style="44" customWidth="1"/>
    <col min="9975" max="9975" width="8.28515625" style="44" customWidth="1"/>
    <col min="9976" max="9976" width="7.7109375" style="44" customWidth="1"/>
    <col min="9977" max="10216" width="9.140625" style="44"/>
    <col min="10217" max="10217" width="7.7109375" style="44" customWidth="1"/>
    <col min="10218" max="10218" width="15.140625" style="44" customWidth="1"/>
    <col min="10219" max="10219" width="10" style="44" customWidth="1"/>
    <col min="10220" max="10220" width="8.42578125" style="44" customWidth="1"/>
    <col min="10221" max="10221" width="10.140625" style="44" customWidth="1"/>
    <col min="10222" max="10222" width="10" style="44" customWidth="1"/>
    <col min="10223" max="10223" width="8.42578125" style="44" customWidth="1"/>
    <col min="10224" max="10224" width="10.140625" style="44" customWidth="1"/>
    <col min="10225" max="10225" width="10" style="44" customWidth="1"/>
    <col min="10226" max="10226" width="8.42578125" style="44" customWidth="1"/>
    <col min="10227" max="10227" width="10.140625" style="44" customWidth="1"/>
    <col min="10228" max="10228" width="10" style="44" customWidth="1"/>
    <col min="10229" max="10229" width="8.42578125" style="44" customWidth="1"/>
    <col min="10230" max="10230" width="10.140625" style="44" customWidth="1"/>
    <col min="10231" max="10231" width="8.28515625" style="44" customWidth="1"/>
    <col min="10232" max="10232" width="7.7109375" style="44" customWidth="1"/>
    <col min="10233" max="10472" width="9.140625" style="44"/>
    <col min="10473" max="10473" width="7.7109375" style="44" customWidth="1"/>
    <col min="10474" max="10474" width="15.140625" style="44" customWidth="1"/>
    <col min="10475" max="10475" width="10" style="44" customWidth="1"/>
    <col min="10476" max="10476" width="8.42578125" style="44" customWidth="1"/>
    <col min="10477" max="10477" width="10.140625" style="44" customWidth="1"/>
    <col min="10478" max="10478" width="10" style="44" customWidth="1"/>
    <col min="10479" max="10479" width="8.42578125" style="44" customWidth="1"/>
    <col min="10480" max="10480" width="10.140625" style="44" customWidth="1"/>
    <col min="10481" max="10481" width="10" style="44" customWidth="1"/>
    <col min="10482" max="10482" width="8.42578125" style="44" customWidth="1"/>
    <col min="10483" max="10483" width="10.140625" style="44" customWidth="1"/>
    <col min="10484" max="10484" width="10" style="44" customWidth="1"/>
    <col min="10485" max="10485" width="8.42578125" style="44" customWidth="1"/>
    <col min="10486" max="10486" width="10.140625" style="44" customWidth="1"/>
    <col min="10487" max="10487" width="8.28515625" style="44" customWidth="1"/>
    <col min="10488" max="10488" width="7.7109375" style="44" customWidth="1"/>
    <col min="10489" max="10728" width="9.140625" style="44"/>
    <col min="10729" max="10729" width="7.7109375" style="44" customWidth="1"/>
    <col min="10730" max="10730" width="15.140625" style="44" customWidth="1"/>
    <col min="10731" max="10731" width="10" style="44" customWidth="1"/>
    <col min="10732" max="10732" width="8.42578125" style="44" customWidth="1"/>
    <col min="10733" max="10733" width="10.140625" style="44" customWidth="1"/>
    <col min="10734" max="10734" width="10" style="44" customWidth="1"/>
    <col min="10735" max="10735" width="8.42578125" style="44" customWidth="1"/>
    <col min="10736" max="10736" width="10.140625" style="44" customWidth="1"/>
    <col min="10737" max="10737" width="10" style="44" customWidth="1"/>
    <col min="10738" max="10738" width="8.42578125" style="44" customWidth="1"/>
    <col min="10739" max="10739" width="10.140625" style="44" customWidth="1"/>
    <col min="10740" max="10740" width="10" style="44" customWidth="1"/>
    <col min="10741" max="10741" width="8.42578125" style="44" customWidth="1"/>
    <col min="10742" max="10742" width="10.140625" style="44" customWidth="1"/>
    <col min="10743" max="10743" width="8.28515625" style="44" customWidth="1"/>
    <col min="10744" max="10744" width="7.7109375" style="44" customWidth="1"/>
    <col min="10745" max="10984" width="9.140625" style="44"/>
    <col min="10985" max="10985" width="7.7109375" style="44" customWidth="1"/>
    <col min="10986" max="10986" width="15.140625" style="44" customWidth="1"/>
    <col min="10987" max="10987" width="10" style="44" customWidth="1"/>
    <col min="10988" max="10988" width="8.42578125" style="44" customWidth="1"/>
    <col min="10989" max="10989" width="10.140625" style="44" customWidth="1"/>
    <col min="10990" max="10990" width="10" style="44" customWidth="1"/>
    <col min="10991" max="10991" width="8.42578125" style="44" customWidth="1"/>
    <col min="10992" max="10992" width="10.140625" style="44" customWidth="1"/>
    <col min="10993" max="10993" width="10" style="44" customWidth="1"/>
    <col min="10994" max="10994" width="8.42578125" style="44" customWidth="1"/>
    <col min="10995" max="10995" width="10.140625" style="44" customWidth="1"/>
    <col min="10996" max="10996" width="10" style="44" customWidth="1"/>
    <col min="10997" max="10997" width="8.42578125" style="44" customWidth="1"/>
    <col min="10998" max="10998" width="10.140625" style="44" customWidth="1"/>
    <col min="10999" max="10999" width="8.28515625" style="44" customWidth="1"/>
    <col min="11000" max="11000" width="7.7109375" style="44" customWidth="1"/>
    <col min="11001" max="11240" width="9.140625" style="44"/>
    <col min="11241" max="11241" width="7.7109375" style="44" customWidth="1"/>
    <col min="11242" max="11242" width="15.140625" style="44" customWidth="1"/>
    <col min="11243" max="11243" width="10" style="44" customWidth="1"/>
    <col min="11244" max="11244" width="8.42578125" style="44" customWidth="1"/>
    <col min="11245" max="11245" width="10.140625" style="44" customWidth="1"/>
    <col min="11246" max="11246" width="10" style="44" customWidth="1"/>
    <col min="11247" max="11247" width="8.42578125" style="44" customWidth="1"/>
    <col min="11248" max="11248" width="10.140625" style="44" customWidth="1"/>
    <col min="11249" max="11249" width="10" style="44" customWidth="1"/>
    <col min="11250" max="11250" width="8.42578125" style="44" customWidth="1"/>
    <col min="11251" max="11251" width="10.140625" style="44" customWidth="1"/>
    <col min="11252" max="11252" width="10" style="44" customWidth="1"/>
    <col min="11253" max="11253" width="8.42578125" style="44" customWidth="1"/>
    <col min="11254" max="11254" width="10.140625" style="44" customWidth="1"/>
    <col min="11255" max="11255" width="8.28515625" style="44" customWidth="1"/>
    <col min="11256" max="11256" width="7.7109375" style="44" customWidth="1"/>
    <col min="11257" max="11496" width="9.140625" style="44"/>
    <col min="11497" max="11497" width="7.7109375" style="44" customWidth="1"/>
    <col min="11498" max="11498" width="15.140625" style="44" customWidth="1"/>
    <col min="11499" max="11499" width="10" style="44" customWidth="1"/>
    <col min="11500" max="11500" width="8.42578125" style="44" customWidth="1"/>
    <col min="11501" max="11501" width="10.140625" style="44" customWidth="1"/>
    <col min="11502" max="11502" width="10" style="44" customWidth="1"/>
    <col min="11503" max="11503" width="8.42578125" style="44" customWidth="1"/>
    <col min="11504" max="11504" width="10.140625" style="44" customWidth="1"/>
    <col min="11505" max="11505" width="10" style="44" customWidth="1"/>
    <col min="11506" max="11506" width="8.42578125" style="44" customWidth="1"/>
    <col min="11507" max="11507" width="10.140625" style="44" customWidth="1"/>
    <col min="11508" max="11508" width="10" style="44" customWidth="1"/>
    <col min="11509" max="11509" width="8.42578125" style="44" customWidth="1"/>
    <col min="11510" max="11510" width="10.140625" style="44" customWidth="1"/>
    <col min="11511" max="11511" width="8.28515625" style="44" customWidth="1"/>
    <col min="11512" max="11512" width="7.7109375" style="44" customWidth="1"/>
    <col min="11513" max="11752" width="9.140625" style="44"/>
    <col min="11753" max="11753" width="7.7109375" style="44" customWidth="1"/>
    <col min="11754" max="11754" width="15.140625" style="44" customWidth="1"/>
    <col min="11755" max="11755" width="10" style="44" customWidth="1"/>
    <col min="11756" max="11756" width="8.42578125" style="44" customWidth="1"/>
    <col min="11757" max="11757" width="10.140625" style="44" customWidth="1"/>
    <col min="11758" max="11758" width="10" style="44" customWidth="1"/>
    <col min="11759" max="11759" width="8.42578125" style="44" customWidth="1"/>
    <col min="11760" max="11760" width="10.140625" style="44" customWidth="1"/>
    <col min="11761" max="11761" width="10" style="44" customWidth="1"/>
    <col min="11762" max="11762" width="8.42578125" style="44" customWidth="1"/>
    <col min="11763" max="11763" width="10.140625" style="44" customWidth="1"/>
    <col min="11764" max="11764" width="10" style="44" customWidth="1"/>
    <col min="11765" max="11765" width="8.42578125" style="44" customWidth="1"/>
    <col min="11766" max="11766" width="10.140625" style="44" customWidth="1"/>
    <col min="11767" max="11767" width="8.28515625" style="44" customWidth="1"/>
    <col min="11768" max="11768" width="7.7109375" style="44" customWidth="1"/>
    <col min="11769" max="12008" width="9.140625" style="44"/>
    <col min="12009" max="12009" width="7.7109375" style="44" customWidth="1"/>
    <col min="12010" max="12010" width="15.140625" style="44" customWidth="1"/>
    <col min="12011" max="12011" width="10" style="44" customWidth="1"/>
    <col min="12012" max="12012" width="8.42578125" style="44" customWidth="1"/>
    <col min="12013" max="12013" width="10.140625" style="44" customWidth="1"/>
    <col min="12014" max="12014" width="10" style="44" customWidth="1"/>
    <col min="12015" max="12015" width="8.42578125" style="44" customWidth="1"/>
    <col min="12016" max="12016" width="10.140625" style="44" customWidth="1"/>
    <col min="12017" max="12017" width="10" style="44" customWidth="1"/>
    <col min="12018" max="12018" width="8.42578125" style="44" customWidth="1"/>
    <col min="12019" max="12019" width="10.140625" style="44" customWidth="1"/>
    <col min="12020" max="12020" width="10" style="44" customWidth="1"/>
    <col min="12021" max="12021" width="8.42578125" style="44" customWidth="1"/>
    <col min="12022" max="12022" width="10.140625" style="44" customWidth="1"/>
    <col min="12023" max="12023" width="8.28515625" style="44" customWidth="1"/>
    <col min="12024" max="12024" width="7.7109375" style="44" customWidth="1"/>
    <col min="12025" max="12264" width="9.140625" style="44"/>
    <col min="12265" max="12265" width="7.7109375" style="44" customWidth="1"/>
    <col min="12266" max="12266" width="15.140625" style="44" customWidth="1"/>
    <col min="12267" max="12267" width="10" style="44" customWidth="1"/>
    <col min="12268" max="12268" width="8.42578125" style="44" customWidth="1"/>
    <col min="12269" max="12269" width="10.140625" style="44" customWidth="1"/>
    <col min="12270" max="12270" width="10" style="44" customWidth="1"/>
    <col min="12271" max="12271" width="8.42578125" style="44" customWidth="1"/>
    <col min="12272" max="12272" width="10.140625" style="44" customWidth="1"/>
    <col min="12273" max="12273" width="10" style="44" customWidth="1"/>
    <col min="12274" max="12274" width="8.42578125" style="44" customWidth="1"/>
    <col min="12275" max="12275" width="10.140625" style="44" customWidth="1"/>
    <col min="12276" max="12276" width="10" style="44" customWidth="1"/>
    <col min="12277" max="12277" width="8.42578125" style="44" customWidth="1"/>
    <col min="12278" max="12278" width="10.140625" style="44" customWidth="1"/>
    <col min="12279" max="12279" width="8.28515625" style="44" customWidth="1"/>
    <col min="12280" max="12280" width="7.7109375" style="44" customWidth="1"/>
    <col min="12281" max="12520" width="9.140625" style="44"/>
    <col min="12521" max="12521" width="7.7109375" style="44" customWidth="1"/>
    <col min="12522" max="12522" width="15.140625" style="44" customWidth="1"/>
    <col min="12523" max="12523" width="10" style="44" customWidth="1"/>
    <col min="12524" max="12524" width="8.42578125" style="44" customWidth="1"/>
    <col min="12525" max="12525" width="10.140625" style="44" customWidth="1"/>
    <col min="12526" max="12526" width="10" style="44" customWidth="1"/>
    <col min="12527" max="12527" width="8.42578125" style="44" customWidth="1"/>
    <col min="12528" max="12528" width="10.140625" style="44" customWidth="1"/>
    <col min="12529" max="12529" width="10" style="44" customWidth="1"/>
    <col min="12530" max="12530" width="8.42578125" style="44" customWidth="1"/>
    <col min="12531" max="12531" width="10.140625" style="44" customWidth="1"/>
    <col min="12532" max="12532" width="10" style="44" customWidth="1"/>
    <col min="12533" max="12533" width="8.42578125" style="44" customWidth="1"/>
    <col min="12534" max="12534" width="10.140625" style="44" customWidth="1"/>
    <col min="12535" max="12535" width="8.28515625" style="44" customWidth="1"/>
    <col min="12536" max="12536" width="7.7109375" style="44" customWidth="1"/>
    <col min="12537" max="12776" width="9.140625" style="44"/>
    <col min="12777" max="12777" width="7.7109375" style="44" customWidth="1"/>
    <col min="12778" max="12778" width="15.140625" style="44" customWidth="1"/>
    <col min="12779" max="12779" width="10" style="44" customWidth="1"/>
    <col min="12780" max="12780" width="8.42578125" style="44" customWidth="1"/>
    <col min="12781" max="12781" width="10.140625" style="44" customWidth="1"/>
    <col min="12782" max="12782" width="10" style="44" customWidth="1"/>
    <col min="12783" max="12783" width="8.42578125" style="44" customWidth="1"/>
    <col min="12784" max="12784" width="10.140625" style="44" customWidth="1"/>
    <col min="12785" max="12785" width="10" style="44" customWidth="1"/>
    <col min="12786" max="12786" width="8.42578125" style="44" customWidth="1"/>
    <col min="12787" max="12787" width="10.140625" style="44" customWidth="1"/>
    <col min="12788" max="12788" width="10" style="44" customWidth="1"/>
    <col min="12789" max="12789" width="8.42578125" style="44" customWidth="1"/>
    <col min="12790" max="12790" width="10.140625" style="44" customWidth="1"/>
    <col min="12791" max="12791" width="8.28515625" style="44" customWidth="1"/>
    <col min="12792" max="12792" width="7.7109375" style="44" customWidth="1"/>
    <col min="12793" max="13032" width="9.140625" style="44"/>
    <col min="13033" max="13033" width="7.7109375" style="44" customWidth="1"/>
    <col min="13034" max="13034" width="15.140625" style="44" customWidth="1"/>
    <col min="13035" max="13035" width="10" style="44" customWidth="1"/>
    <col min="13036" max="13036" width="8.42578125" style="44" customWidth="1"/>
    <col min="13037" max="13037" width="10.140625" style="44" customWidth="1"/>
    <col min="13038" max="13038" width="10" style="44" customWidth="1"/>
    <col min="13039" max="13039" width="8.42578125" style="44" customWidth="1"/>
    <col min="13040" max="13040" width="10.140625" style="44" customWidth="1"/>
    <col min="13041" max="13041" width="10" style="44" customWidth="1"/>
    <col min="13042" max="13042" width="8.42578125" style="44" customWidth="1"/>
    <col min="13043" max="13043" width="10.140625" style="44" customWidth="1"/>
    <col min="13044" max="13044" width="10" style="44" customWidth="1"/>
    <col min="13045" max="13045" width="8.42578125" style="44" customWidth="1"/>
    <col min="13046" max="13046" width="10.140625" style="44" customWidth="1"/>
    <col min="13047" max="13047" width="8.28515625" style="44" customWidth="1"/>
    <col min="13048" max="13048" width="7.7109375" style="44" customWidth="1"/>
    <col min="13049" max="13288" width="9.140625" style="44"/>
    <col min="13289" max="13289" width="7.7109375" style="44" customWidth="1"/>
    <col min="13290" max="13290" width="15.140625" style="44" customWidth="1"/>
    <col min="13291" max="13291" width="10" style="44" customWidth="1"/>
    <col min="13292" max="13292" width="8.42578125" style="44" customWidth="1"/>
    <col min="13293" max="13293" width="10.140625" style="44" customWidth="1"/>
    <col min="13294" max="13294" width="10" style="44" customWidth="1"/>
    <col min="13295" max="13295" width="8.42578125" style="44" customWidth="1"/>
    <col min="13296" max="13296" width="10.140625" style="44" customWidth="1"/>
    <col min="13297" max="13297" width="10" style="44" customWidth="1"/>
    <col min="13298" max="13298" width="8.42578125" style="44" customWidth="1"/>
    <col min="13299" max="13299" width="10.140625" style="44" customWidth="1"/>
    <col min="13300" max="13300" width="10" style="44" customWidth="1"/>
    <col min="13301" max="13301" width="8.42578125" style="44" customWidth="1"/>
    <col min="13302" max="13302" width="10.140625" style="44" customWidth="1"/>
    <col min="13303" max="13303" width="8.28515625" style="44" customWidth="1"/>
    <col min="13304" max="13304" width="7.7109375" style="44" customWidth="1"/>
    <col min="13305" max="13544" width="9.140625" style="44"/>
    <col min="13545" max="13545" width="7.7109375" style="44" customWidth="1"/>
    <col min="13546" max="13546" width="15.140625" style="44" customWidth="1"/>
    <col min="13547" max="13547" width="10" style="44" customWidth="1"/>
    <col min="13548" max="13548" width="8.42578125" style="44" customWidth="1"/>
    <col min="13549" max="13549" width="10.140625" style="44" customWidth="1"/>
    <col min="13550" max="13550" width="10" style="44" customWidth="1"/>
    <col min="13551" max="13551" width="8.42578125" style="44" customWidth="1"/>
    <col min="13552" max="13552" width="10.140625" style="44" customWidth="1"/>
    <col min="13553" max="13553" width="10" style="44" customWidth="1"/>
    <col min="13554" max="13554" width="8.42578125" style="44" customWidth="1"/>
    <col min="13555" max="13555" width="10.140625" style="44" customWidth="1"/>
    <col min="13556" max="13556" width="10" style="44" customWidth="1"/>
    <col min="13557" max="13557" width="8.42578125" style="44" customWidth="1"/>
    <col min="13558" max="13558" width="10.140625" style="44" customWidth="1"/>
    <col min="13559" max="13559" width="8.28515625" style="44" customWidth="1"/>
    <col min="13560" max="13560" width="7.7109375" style="44" customWidth="1"/>
    <col min="13561" max="13800" width="9.140625" style="44"/>
    <col min="13801" max="13801" width="7.7109375" style="44" customWidth="1"/>
    <col min="13802" max="13802" width="15.140625" style="44" customWidth="1"/>
    <col min="13803" max="13803" width="10" style="44" customWidth="1"/>
    <col min="13804" max="13804" width="8.42578125" style="44" customWidth="1"/>
    <col min="13805" max="13805" width="10.140625" style="44" customWidth="1"/>
    <col min="13806" max="13806" width="10" style="44" customWidth="1"/>
    <col min="13807" max="13807" width="8.42578125" style="44" customWidth="1"/>
    <col min="13808" max="13808" width="10.140625" style="44" customWidth="1"/>
    <col min="13809" max="13809" width="10" style="44" customWidth="1"/>
    <col min="13810" max="13810" width="8.42578125" style="44" customWidth="1"/>
    <col min="13811" max="13811" width="10.140625" style="44" customWidth="1"/>
    <col min="13812" max="13812" width="10" style="44" customWidth="1"/>
    <col min="13813" max="13813" width="8.42578125" style="44" customWidth="1"/>
    <col min="13814" max="13814" width="10.140625" style="44" customWidth="1"/>
    <col min="13815" max="13815" width="8.28515625" style="44" customWidth="1"/>
    <col min="13816" max="13816" width="7.7109375" style="44" customWidth="1"/>
    <col min="13817" max="14056" width="9.140625" style="44"/>
    <col min="14057" max="14057" width="7.7109375" style="44" customWidth="1"/>
    <col min="14058" max="14058" width="15.140625" style="44" customWidth="1"/>
    <col min="14059" max="14059" width="10" style="44" customWidth="1"/>
    <col min="14060" max="14060" width="8.42578125" style="44" customWidth="1"/>
    <col min="14061" max="14061" width="10.140625" style="44" customWidth="1"/>
    <col min="14062" max="14062" width="10" style="44" customWidth="1"/>
    <col min="14063" max="14063" width="8.42578125" style="44" customWidth="1"/>
    <col min="14064" max="14064" width="10.140625" style="44" customWidth="1"/>
    <col min="14065" max="14065" width="10" style="44" customWidth="1"/>
    <col min="14066" max="14066" width="8.42578125" style="44" customWidth="1"/>
    <col min="14067" max="14067" width="10.140625" style="44" customWidth="1"/>
    <col min="14068" max="14068" width="10" style="44" customWidth="1"/>
    <col min="14069" max="14069" width="8.42578125" style="44" customWidth="1"/>
    <col min="14070" max="14070" width="10.140625" style="44" customWidth="1"/>
    <col min="14071" max="14071" width="8.28515625" style="44" customWidth="1"/>
    <col min="14072" max="14072" width="7.7109375" style="44" customWidth="1"/>
    <col min="14073" max="14312" width="9.140625" style="44"/>
    <col min="14313" max="14313" width="7.7109375" style="44" customWidth="1"/>
    <col min="14314" max="14314" width="15.140625" style="44" customWidth="1"/>
    <col min="14315" max="14315" width="10" style="44" customWidth="1"/>
    <col min="14316" max="14316" width="8.42578125" style="44" customWidth="1"/>
    <col min="14317" max="14317" width="10.140625" style="44" customWidth="1"/>
    <col min="14318" max="14318" width="10" style="44" customWidth="1"/>
    <col min="14319" max="14319" width="8.42578125" style="44" customWidth="1"/>
    <col min="14320" max="14320" width="10.140625" style="44" customWidth="1"/>
    <col min="14321" max="14321" width="10" style="44" customWidth="1"/>
    <col min="14322" max="14322" width="8.42578125" style="44" customWidth="1"/>
    <col min="14323" max="14323" width="10.140625" style="44" customWidth="1"/>
    <col min="14324" max="14324" width="10" style="44" customWidth="1"/>
    <col min="14325" max="14325" width="8.42578125" style="44" customWidth="1"/>
    <col min="14326" max="14326" width="10.140625" style="44" customWidth="1"/>
    <col min="14327" max="14327" width="8.28515625" style="44" customWidth="1"/>
    <col min="14328" max="14328" width="7.7109375" style="44" customWidth="1"/>
    <col min="14329" max="14568" width="9.140625" style="44"/>
    <col min="14569" max="14569" width="7.7109375" style="44" customWidth="1"/>
    <col min="14570" max="14570" width="15.140625" style="44" customWidth="1"/>
    <col min="14571" max="14571" width="10" style="44" customWidth="1"/>
    <col min="14572" max="14572" width="8.42578125" style="44" customWidth="1"/>
    <col min="14573" max="14573" width="10.140625" style="44" customWidth="1"/>
    <col min="14574" max="14574" width="10" style="44" customWidth="1"/>
    <col min="14575" max="14575" width="8.42578125" style="44" customWidth="1"/>
    <col min="14576" max="14576" width="10.140625" style="44" customWidth="1"/>
    <col min="14577" max="14577" width="10" style="44" customWidth="1"/>
    <col min="14578" max="14578" width="8.42578125" style="44" customWidth="1"/>
    <col min="14579" max="14579" width="10.140625" style="44" customWidth="1"/>
    <col min="14580" max="14580" width="10" style="44" customWidth="1"/>
    <col min="14581" max="14581" width="8.42578125" style="44" customWidth="1"/>
    <col min="14582" max="14582" width="10.140625" style="44" customWidth="1"/>
    <col min="14583" max="14583" width="8.28515625" style="44" customWidth="1"/>
    <col min="14584" max="14584" width="7.7109375" style="44" customWidth="1"/>
    <col min="14585" max="14824" width="9.140625" style="44"/>
    <col min="14825" max="14825" width="7.7109375" style="44" customWidth="1"/>
    <col min="14826" max="14826" width="15.140625" style="44" customWidth="1"/>
    <col min="14827" max="14827" width="10" style="44" customWidth="1"/>
    <col min="14828" max="14828" width="8.42578125" style="44" customWidth="1"/>
    <col min="14829" max="14829" width="10.140625" style="44" customWidth="1"/>
    <col min="14830" max="14830" width="10" style="44" customWidth="1"/>
    <col min="14831" max="14831" width="8.42578125" style="44" customWidth="1"/>
    <col min="14832" max="14832" width="10.140625" style="44" customWidth="1"/>
    <col min="14833" max="14833" width="10" style="44" customWidth="1"/>
    <col min="14834" max="14834" width="8.42578125" style="44" customWidth="1"/>
    <col min="14835" max="14835" width="10.140625" style="44" customWidth="1"/>
    <col min="14836" max="14836" width="10" style="44" customWidth="1"/>
    <col min="14837" max="14837" width="8.42578125" style="44" customWidth="1"/>
    <col min="14838" max="14838" width="10.140625" style="44" customWidth="1"/>
    <col min="14839" max="14839" width="8.28515625" style="44" customWidth="1"/>
    <col min="14840" max="14840" width="7.7109375" style="44" customWidth="1"/>
    <col min="14841" max="15080" width="9.140625" style="44"/>
    <col min="15081" max="15081" width="7.7109375" style="44" customWidth="1"/>
    <col min="15082" max="15082" width="15.140625" style="44" customWidth="1"/>
    <col min="15083" max="15083" width="10" style="44" customWidth="1"/>
    <col min="15084" max="15084" width="8.42578125" style="44" customWidth="1"/>
    <col min="15085" max="15085" width="10.140625" style="44" customWidth="1"/>
    <col min="15086" max="15086" width="10" style="44" customWidth="1"/>
    <col min="15087" max="15087" width="8.42578125" style="44" customWidth="1"/>
    <col min="15088" max="15088" width="10.140625" style="44" customWidth="1"/>
    <col min="15089" max="15089" width="10" style="44" customWidth="1"/>
    <col min="15090" max="15090" width="8.42578125" style="44" customWidth="1"/>
    <col min="15091" max="15091" width="10.140625" style="44" customWidth="1"/>
    <col min="15092" max="15092" width="10" style="44" customWidth="1"/>
    <col min="15093" max="15093" width="8.42578125" style="44" customWidth="1"/>
    <col min="15094" max="15094" width="10.140625" style="44" customWidth="1"/>
    <col min="15095" max="15095" width="8.28515625" style="44" customWidth="1"/>
    <col min="15096" max="15096" width="7.7109375" style="44" customWidth="1"/>
    <col min="15097" max="15336" width="9.140625" style="44"/>
    <col min="15337" max="15337" width="7.7109375" style="44" customWidth="1"/>
    <col min="15338" max="15338" width="15.140625" style="44" customWidth="1"/>
    <col min="15339" max="15339" width="10" style="44" customWidth="1"/>
    <col min="15340" max="15340" width="8.42578125" style="44" customWidth="1"/>
    <col min="15341" max="15341" width="10.140625" style="44" customWidth="1"/>
    <col min="15342" max="15342" width="10" style="44" customWidth="1"/>
    <col min="15343" max="15343" width="8.42578125" style="44" customWidth="1"/>
    <col min="15344" max="15344" width="10.140625" style="44" customWidth="1"/>
    <col min="15345" max="15345" width="10" style="44" customWidth="1"/>
    <col min="15346" max="15346" width="8.42578125" style="44" customWidth="1"/>
    <col min="15347" max="15347" width="10.140625" style="44" customWidth="1"/>
    <col min="15348" max="15348" width="10" style="44" customWidth="1"/>
    <col min="15349" max="15349" width="8.42578125" style="44" customWidth="1"/>
    <col min="15350" max="15350" width="10.140625" style="44" customWidth="1"/>
    <col min="15351" max="15351" width="8.28515625" style="44" customWidth="1"/>
    <col min="15352" max="15352" width="7.7109375" style="44" customWidth="1"/>
    <col min="15353" max="15592" width="9.140625" style="44"/>
    <col min="15593" max="15593" width="7.7109375" style="44" customWidth="1"/>
    <col min="15594" max="15594" width="15.140625" style="44" customWidth="1"/>
    <col min="15595" max="15595" width="10" style="44" customWidth="1"/>
    <col min="15596" max="15596" width="8.42578125" style="44" customWidth="1"/>
    <col min="15597" max="15597" width="10.140625" style="44" customWidth="1"/>
    <col min="15598" max="15598" width="10" style="44" customWidth="1"/>
    <col min="15599" max="15599" width="8.42578125" style="44" customWidth="1"/>
    <col min="15600" max="15600" width="10.140625" style="44" customWidth="1"/>
    <col min="15601" max="15601" width="10" style="44" customWidth="1"/>
    <col min="15602" max="15602" width="8.42578125" style="44" customWidth="1"/>
    <col min="15603" max="15603" width="10.140625" style="44" customWidth="1"/>
    <col min="15604" max="15604" width="10" style="44" customWidth="1"/>
    <col min="15605" max="15605" width="8.42578125" style="44" customWidth="1"/>
    <col min="15606" max="15606" width="10.140625" style="44" customWidth="1"/>
    <col min="15607" max="15607" width="8.28515625" style="44" customWidth="1"/>
    <col min="15608" max="15608" width="7.7109375" style="44" customWidth="1"/>
    <col min="15609" max="15848" width="9.140625" style="44"/>
    <col min="15849" max="15849" width="7.7109375" style="44" customWidth="1"/>
    <col min="15850" max="15850" width="15.140625" style="44" customWidth="1"/>
    <col min="15851" max="15851" width="10" style="44" customWidth="1"/>
    <col min="15852" max="15852" width="8.42578125" style="44" customWidth="1"/>
    <col min="15853" max="15853" width="10.140625" style="44" customWidth="1"/>
    <col min="15854" max="15854" width="10" style="44" customWidth="1"/>
    <col min="15855" max="15855" width="8.42578125" style="44" customWidth="1"/>
    <col min="15856" max="15856" width="10.140625" style="44" customWidth="1"/>
    <col min="15857" max="15857" width="10" style="44" customWidth="1"/>
    <col min="15858" max="15858" width="8.42578125" style="44" customWidth="1"/>
    <col min="15859" max="15859" width="10.140625" style="44" customWidth="1"/>
    <col min="15860" max="15860" width="10" style="44" customWidth="1"/>
    <col min="15861" max="15861" width="8.42578125" style="44" customWidth="1"/>
    <col min="15862" max="15862" width="10.140625" style="44" customWidth="1"/>
    <col min="15863" max="15863" width="8.28515625" style="44" customWidth="1"/>
    <col min="15864" max="15864" width="7.7109375" style="44" customWidth="1"/>
    <col min="15865" max="16104" width="9.140625" style="44"/>
    <col min="16105" max="16105" width="7.7109375" style="44" customWidth="1"/>
    <col min="16106" max="16106" width="15.140625" style="44" customWidth="1"/>
    <col min="16107" max="16107" width="10" style="44" customWidth="1"/>
    <col min="16108" max="16108" width="8.42578125" style="44" customWidth="1"/>
    <col min="16109" max="16109" width="10.140625" style="44" customWidth="1"/>
    <col min="16110" max="16110" width="10" style="44" customWidth="1"/>
    <col min="16111" max="16111" width="8.42578125" style="44" customWidth="1"/>
    <col min="16112" max="16112" width="10.140625" style="44" customWidth="1"/>
    <col min="16113" max="16113" width="10" style="44" customWidth="1"/>
    <col min="16114" max="16114" width="8.42578125" style="44" customWidth="1"/>
    <col min="16115" max="16115" width="10.140625" style="44" customWidth="1"/>
    <col min="16116" max="16116" width="10" style="44" customWidth="1"/>
    <col min="16117" max="16117" width="8.42578125" style="44" customWidth="1"/>
    <col min="16118" max="16118" width="10.140625" style="44" customWidth="1"/>
    <col min="16119" max="16119" width="8.28515625" style="44" customWidth="1"/>
    <col min="16120" max="16120" width="7.7109375" style="44" customWidth="1"/>
    <col min="16121" max="16384" width="9.140625" style="44"/>
  </cols>
  <sheetData>
    <row r="2" spans="1:23" x14ac:dyDescent="0.2">
      <c r="R2" s="65" t="s">
        <v>323</v>
      </c>
    </row>
    <row r="7" spans="1:23" x14ac:dyDescent="0.2">
      <c r="A7" s="58"/>
    </row>
    <row r="8" spans="1:23" x14ac:dyDescent="0.2">
      <c r="A8" s="58"/>
    </row>
    <row r="9" spans="1:23" x14ac:dyDescent="0.2">
      <c r="B9" s="58">
        <v>1.1399999999999999</v>
      </c>
      <c r="C9" s="404" t="s">
        <v>337</v>
      </c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404"/>
      <c r="V9" s="404"/>
      <c r="W9" s="404"/>
    </row>
    <row r="10" spans="1:23" x14ac:dyDescent="0.2">
      <c r="B10" s="58"/>
    </row>
    <row r="11" spans="1:23" x14ac:dyDescent="0.2">
      <c r="A11" s="89"/>
      <c r="B11" s="424"/>
      <c r="C11" s="410">
        <v>2016</v>
      </c>
      <c r="D11" s="385"/>
      <c r="E11" s="411"/>
      <c r="F11" s="410">
        <v>2017</v>
      </c>
      <c r="G11" s="385"/>
      <c r="H11" s="411"/>
      <c r="I11" s="410">
        <v>2018</v>
      </c>
      <c r="J11" s="385"/>
      <c r="K11" s="411"/>
      <c r="L11" s="410">
        <v>2019</v>
      </c>
      <c r="M11" s="385"/>
      <c r="N11" s="411"/>
      <c r="O11" s="410">
        <v>2020</v>
      </c>
      <c r="P11" s="385"/>
      <c r="Q11" s="411"/>
      <c r="R11" s="385">
        <v>2021</v>
      </c>
      <c r="S11" s="385"/>
      <c r="T11" s="385"/>
      <c r="U11" s="410">
        <v>2022</v>
      </c>
      <c r="V11" s="385"/>
      <c r="W11" s="385"/>
    </row>
    <row r="12" spans="1:23" ht="25.5" x14ac:dyDescent="0.2">
      <c r="A12" s="89"/>
      <c r="B12" s="425"/>
      <c r="C12" s="289" t="s">
        <v>46</v>
      </c>
      <c r="D12" s="120" t="s">
        <v>106</v>
      </c>
      <c r="E12" s="290" t="s">
        <v>118</v>
      </c>
      <c r="F12" s="289" t="s">
        <v>46</v>
      </c>
      <c r="G12" s="120" t="s">
        <v>106</v>
      </c>
      <c r="H12" s="290" t="s">
        <v>118</v>
      </c>
      <c r="I12" s="289" t="s">
        <v>46</v>
      </c>
      <c r="J12" s="120" t="s">
        <v>106</v>
      </c>
      <c r="K12" s="290" t="s">
        <v>118</v>
      </c>
      <c r="L12" s="289" t="s">
        <v>46</v>
      </c>
      <c r="M12" s="120" t="s">
        <v>106</v>
      </c>
      <c r="N12" s="290" t="s">
        <v>118</v>
      </c>
      <c r="O12" s="289" t="s">
        <v>46</v>
      </c>
      <c r="P12" s="120" t="s">
        <v>106</v>
      </c>
      <c r="Q12" s="290" t="s">
        <v>118</v>
      </c>
      <c r="R12" s="48" t="s">
        <v>46</v>
      </c>
      <c r="S12" s="120" t="s">
        <v>106</v>
      </c>
      <c r="T12" s="120" t="s">
        <v>118</v>
      </c>
      <c r="U12" s="289" t="s">
        <v>46</v>
      </c>
      <c r="V12" s="120" t="s">
        <v>106</v>
      </c>
      <c r="W12" s="120" t="s">
        <v>118</v>
      </c>
    </row>
    <row r="13" spans="1:23" x14ac:dyDescent="0.2">
      <c r="A13" s="89"/>
      <c r="B13" s="291"/>
      <c r="C13" s="292"/>
      <c r="D13" s="293"/>
      <c r="E13" s="294"/>
      <c r="F13" s="292"/>
      <c r="G13" s="293"/>
      <c r="H13" s="294"/>
      <c r="I13" s="292"/>
      <c r="J13" s="293"/>
      <c r="K13" s="294"/>
      <c r="L13" s="292"/>
      <c r="M13" s="293"/>
      <c r="N13" s="294"/>
      <c r="O13" s="292"/>
      <c r="P13" s="293"/>
      <c r="Q13" s="294"/>
      <c r="R13" s="113"/>
      <c r="S13" s="113"/>
      <c r="T13" s="113"/>
      <c r="U13" s="292"/>
      <c r="V13" s="293"/>
      <c r="W13" s="293"/>
    </row>
    <row r="14" spans="1:23" x14ac:dyDescent="0.2">
      <c r="A14" s="89"/>
      <c r="B14" s="73" t="s">
        <v>103</v>
      </c>
      <c r="C14" s="297">
        <f>C16+C24</f>
        <v>61361.097299447916</v>
      </c>
      <c r="D14" s="298">
        <f>D16+D24</f>
        <v>25561</v>
      </c>
      <c r="E14" s="299">
        <f>C14/D14</f>
        <v>2.4005749892198236</v>
      </c>
      <c r="F14" s="297">
        <f>F16+F24</f>
        <v>63414</v>
      </c>
      <c r="G14" s="298">
        <f>G16+G24</f>
        <v>25197</v>
      </c>
      <c r="H14" s="299">
        <f>F14/G14</f>
        <v>2.5167281819264198</v>
      </c>
      <c r="I14" s="297">
        <f>I16+I24</f>
        <v>65812.999999999389</v>
      </c>
      <c r="J14" s="298">
        <f>J16+J24</f>
        <v>27925.419999999773</v>
      </c>
      <c r="K14" s="299">
        <f>I14/J14</f>
        <v>2.3567416353988562</v>
      </c>
      <c r="L14" s="297">
        <f>L16+L24</f>
        <v>69913.99999999984</v>
      </c>
      <c r="M14" s="298">
        <f>M16+M24</f>
        <v>28834</v>
      </c>
      <c r="N14" s="299">
        <f>L14/M14</f>
        <v>2.4247069431920591</v>
      </c>
      <c r="O14" s="297">
        <f>O16+O24</f>
        <v>65786.000000000102</v>
      </c>
      <c r="P14" s="298">
        <f>P16+P24</f>
        <v>27084.33429169087</v>
      </c>
      <c r="Q14" s="299">
        <f>O14/P14</f>
        <v>2.4289317688780119</v>
      </c>
      <c r="R14" s="295">
        <f>R16+R24</f>
        <v>71104.754466624552</v>
      </c>
      <c r="S14" s="295">
        <f>S16+S24</f>
        <v>29699.000000003329</v>
      </c>
      <c r="T14" s="296">
        <f>R14/S14</f>
        <v>2.3941800891146698</v>
      </c>
      <c r="U14" s="297">
        <f>U16+U24</f>
        <v>81546.088299999625</v>
      </c>
      <c r="V14" s="298">
        <f>V16+V24</f>
        <v>34133.068676534327</v>
      </c>
      <c r="W14" s="300">
        <f>U14/V14</f>
        <v>2.3890640795522913</v>
      </c>
    </row>
    <row r="15" spans="1:23" s="66" customFormat="1" x14ac:dyDescent="0.2">
      <c r="A15" s="90"/>
      <c r="B15" s="291"/>
      <c r="C15" s="304"/>
      <c r="D15" s="305"/>
      <c r="E15" s="306"/>
      <c r="F15" s="304"/>
      <c r="G15" s="305"/>
      <c r="H15" s="306"/>
      <c r="I15" s="304"/>
      <c r="J15" s="305"/>
      <c r="K15" s="306"/>
      <c r="L15" s="304"/>
      <c r="M15" s="305"/>
      <c r="N15" s="306"/>
      <c r="O15" s="304"/>
      <c r="P15" s="305"/>
      <c r="Q15" s="306"/>
      <c r="R15" s="301"/>
      <c r="S15" s="302"/>
      <c r="T15" s="303"/>
      <c r="U15" s="304"/>
      <c r="V15" s="305"/>
      <c r="W15" s="307"/>
    </row>
    <row r="16" spans="1:23" x14ac:dyDescent="0.2">
      <c r="A16" s="89"/>
      <c r="B16" s="73" t="s">
        <v>104</v>
      </c>
      <c r="C16" s="297">
        <f>SUM(C18:C22)</f>
        <v>59261.732058617192</v>
      </c>
      <c r="D16" s="298">
        <f>SUM(D18:D22)</f>
        <v>24415</v>
      </c>
      <c r="E16" s="299">
        <f t="shared" ref="E16" si="0">C16/D16</f>
        <v>2.427267338055179</v>
      </c>
      <c r="F16" s="297">
        <f>SUM(F18:F22)</f>
        <v>60881</v>
      </c>
      <c r="G16" s="298">
        <f>SUM(G18:G22)</f>
        <v>24131</v>
      </c>
      <c r="H16" s="299">
        <f t="shared" ref="H16" si="1">F16/G16</f>
        <v>2.5229373005677345</v>
      </c>
      <c r="I16" s="297">
        <f>SUM(I18:I22)</f>
        <v>63807.322311635449</v>
      </c>
      <c r="J16" s="298">
        <f>SUM(J18:J22)</f>
        <v>27053.319999999774</v>
      </c>
      <c r="K16" s="299">
        <f t="shared" ref="K16" si="2">I16/J16</f>
        <v>2.3585764080577163</v>
      </c>
      <c r="L16" s="297">
        <f>SUM(L18:L22)</f>
        <v>67676.078457064839</v>
      </c>
      <c r="M16" s="298">
        <f>SUM(M18:M22)</f>
        <v>27667</v>
      </c>
      <c r="N16" s="299">
        <f t="shared" ref="N16" si="3">L16/M16</f>
        <v>2.4460938467150339</v>
      </c>
      <c r="O16" s="297">
        <f>SUM(O18:O22)</f>
        <v>64082.706570699222</v>
      </c>
      <c r="P16" s="298">
        <f>SUM(P18:P22)</f>
        <v>26196.671385988771</v>
      </c>
      <c r="Q16" s="299">
        <f t="shared" ref="Q16" si="4">O16/P16</f>
        <v>2.4462156136742514</v>
      </c>
      <c r="R16" s="295">
        <f>SUM(R18:R22)</f>
        <v>68847.916762511304</v>
      </c>
      <c r="S16" s="295">
        <f>SUM(S18:S22)</f>
        <v>28639.000000003318</v>
      </c>
      <c r="T16" s="296">
        <f t="shared" ref="T16" si="5">R16/S16</f>
        <v>2.4039916464437772</v>
      </c>
      <c r="U16" s="297">
        <f>SUM(U18:U22)</f>
        <v>79242.042878046283</v>
      </c>
      <c r="V16" s="298">
        <f>SUM(V18:V22)</f>
        <v>32820.408858755181</v>
      </c>
      <c r="W16" s="300">
        <f t="shared" ref="W16" si="6">U16/V16</f>
        <v>2.4144136418004329</v>
      </c>
    </row>
    <row r="17" spans="1:23" x14ac:dyDescent="0.2">
      <c r="A17" s="89"/>
      <c r="B17" s="291"/>
      <c r="C17" s="304"/>
      <c r="D17" s="305"/>
      <c r="E17" s="299"/>
      <c r="F17" s="304"/>
      <c r="G17" s="305"/>
      <c r="H17" s="299"/>
      <c r="I17" s="304"/>
      <c r="J17" s="305"/>
      <c r="K17" s="299"/>
      <c r="L17" s="304"/>
      <c r="M17" s="305"/>
      <c r="N17" s="299"/>
      <c r="O17" s="304"/>
      <c r="P17" s="305"/>
      <c r="Q17" s="299"/>
      <c r="R17" s="301"/>
      <c r="S17" s="302"/>
      <c r="T17" s="296"/>
      <c r="U17" s="304"/>
      <c r="V17" s="305"/>
      <c r="W17" s="300"/>
    </row>
    <row r="18" spans="1:23" x14ac:dyDescent="0.2">
      <c r="A18" s="89"/>
      <c r="B18" s="291" t="s">
        <v>6</v>
      </c>
      <c r="C18" s="310">
        <v>31934.847563430274</v>
      </c>
      <c r="D18" s="311">
        <v>13591</v>
      </c>
      <c r="E18" s="312">
        <f t="shared" ref="E18:E22" si="7">C18/D18</f>
        <v>2.3497055083091953</v>
      </c>
      <c r="F18" s="310">
        <v>32808</v>
      </c>
      <c r="G18" s="311">
        <v>13497</v>
      </c>
      <c r="H18" s="312">
        <f t="shared" ref="H18:H22" si="8">F18/G18</f>
        <v>2.4307623916425873</v>
      </c>
      <c r="I18" s="310">
        <v>34878.252092932336</v>
      </c>
      <c r="J18" s="311">
        <v>14534.399999999767</v>
      </c>
      <c r="K18" s="312">
        <f t="shared" ref="K18:K22" si="9">I18/J18</f>
        <v>2.3997036061297954</v>
      </c>
      <c r="L18" s="310">
        <v>36547.432334152523</v>
      </c>
      <c r="M18" s="311">
        <v>16136</v>
      </c>
      <c r="N18" s="312">
        <f t="shared" ref="N18:N22" si="10">L18/M18</f>
        <v>2.2649623409861506</v>
      </c>
      <c r="O18" s="310">
        <v>34788.564819810563</v>
      </c>
      <c r="P18" s="311">
        <v>15359.413326847736</v>
      </c>
      <c r="Q18" s="312">
        <f t="shared" ref="Q18:Q22" si="11">O18/P18</f>
        <v>2.2649670322369233</v>
      </c>
      <c r="R18" s="308">
        <v>34920.729049173249</v>
      </c>
      <c r="S18" s="235">
        <v>15331.000000002556</v>
      </c>
      <c r="T18" s="309">
        <f t="shared" ref="T18:T22" si="12">R18/S18</f>
        <v>2.277785470560787</v>
      </c>
      <c r="U18" s="310">
        <v>40956.767625932916</v>
      </c>
      <c r="V18" s="311">
        <v>18002.51363885809</v>
      </c>
      <c r="W18" s="313">
        <f t="shared" ref="W18:W22" si="13">U18/V18</f>
        <v>2.2750582750582393</v>
      </c>
    </row>
    <row r="19" spans="1:23" x14ac:dyDescent="0.2">
      <c r="A19" s="89"/>
      <c r="B19" s="291" t="s">
        <v>7</v>
      </c>
      <c r="C19" s="310">
        <v>11686.360697016511</v>
      </c>
      <c r="D19" s="311">
        <v>4986</v>
      </c>
      <c r="E19" s="312">
        <f t="shared" si="7"/>
        <v>2.3438348770590678</v>
      </c>
      <c r="F19" s="310">
        <v>12329</v>
      </c>
      <c r="G19" s="311">
        <v>4913</v>
      </c>
      <c r="H19" s="312">
        <f t="shared" si="8"/>
        <v>2.5094646855281906</v>
      </c>
      <c r="I19" s="310">
        <v>12623.748036861458</v>
      </c>
      <c r="J19" s="311">
        <v>6012.160000000018</v>
      </c>
      <c r="K19" s="312">
        <f t="shared" si="9"/>
        <v>2.0997026088562878</v>
      </c>
      <c r="L19" s="310">
        <v>14182.792880650992</v>
      </c>
      <c r="M19" s="311">
        <v>5531</v>
      </c>
      <c r="N19" s="312">
        <f t="shared" si="10"/>
        <v>2.5642366444858058</v>
      </c>
      <c r="O19" s="310">
        <v>12955.40663410892</v>
      </c>
      <c r="P19" s="311">
        <v>5052.4001164084193</v>
      </c>
      <c r="Q19" s="312">
        <f t="shared" si="11"/>
        <v>2.5642083634734933</v>
      </c>
      <c r="R19" s="308">
        <v>15334.695777726141</v>
      </c>
      <c r="S19" s="235">
        <v>6408.0000000006967</v>
      </c>
      <c r="T19" s="309">
        <f t="shared" si="12"/>
        <v>2.3930548966486382</v>
      </c>
      <c r="U19" s="310">
        <v>16943.396562090238</v>
      </c>
      <c r="V19" s="311">
        <v>7011.745587828691</v>
      </c>
      <c r="W19" s="313">
        <f t="shared" si="13"/>
        <v>2.416430594900842</v>
      </c>
    </row>
    <row r="20" spans="1:23" x14ac:dyDescent="0.2">
      <c r="A20" s="89"/>
      <c r="B20" s="291" t="s">
        <v>8</v>
      </c>
      <c r="C20" s="310">
        <v>12668.544293418134</v>
      </c>
      <c r="D20" s="311">
        <v>4485</v>
      </c>
      <c r="E20" s="312">
        <f t="shared" si="7"/>
        <v>2.8246475570608993</v>
      </c>
      <c r="F20" s="310">
        <v>13081</v>
      </c>
      <c r="G20" s="311">
        <v>4466</v>
      </c>
      <c r="H20" s="312">
        <f t="shared" si="8"/>
        <v>2.9290192566054634</v>
      </c>
      <c r="I20" s="310">
        <v>12649.084052609822</v>
      </c>
      <c r="J20" s="311">
        <v>4865.5199999999895</v>
      </c>
      <c r="K20" s="312">
        <f t="shared" si="9"/>
        <v>2.5997394014637387</v>
      </c>
      <c r="L20" s="310">
        <v>13961.243633895241</v>
      </c>
      <c r="M20" s="311">
        <v>4945</v>
      </c>
      <c r="N20" s="312">
        <f t="shared" si="10"/>
        <v>2.823305082688623</v>
      </c>
      <c r="O20" s="310">
        <v>13737.307570793746</v>
      </c>
      <c r="P20" s="311">
        <v>4865.8296469632141</v>
      </c>
      <c r="Q20" s="312">
        <f t="shared" si="11"/>
        <v>2.823219998950695</v>
      </c>
      <c r="R20" s="308">
        <v>14844.96640278966</v>
      </c>
      <c r="S20" s="235">
        <v>5478.0000000000782</v>
      </c>
      <c r="T20" s="309">
        <f t="shared" si="12"/>
        <v>2.7099244985011772</v>
      </c>
      <c r="U20" s="310">
        <v>16957.154606020766</v>
      </c>
      <c r="V20" s="311">
        <v>6166.2380385530259</v>
      </c>
      <c r="W20" s="313">
        <f t="shared" si="13"/>
        <v>2.7499999999999911</v>
      </c>
    </row>
    <row r="21" spans="1:23" x14ac:dyDescent="0.2">
      <c r="A21" s="50"/>
      <c r="B21" s="291" t="s">
        <v>10</v>
      </c>
      <c r="C21" s="310">
        <v>1511.4883417500803</v>
      </c>
      <c r="D21" s="311">
        <v>708</v>
      </c>
      <c r="E21" s="312">
        <f t="shared" si="7"/>
        <v>2.1348705391950284</v>
      </c>
      <c r="F21" s="310">
        <v>1407</v>
      </c>
      <c r="G21" s="311">
        <v>644</v>
      </c>
      <c r="H21" s="312">
        <f t="shared" si="8"/>
        <v>2.1847826086956523</v>
      </c>
      <c r="I21" s="310">
        <v>1978.7253336794499</v>
      </c>
      <c r="J21" s="311">
        <v>942.29999999999973</v>
      </c>
      <c r="K21" s="312">
        <f t="shared" si="9"/>
        <v>2.0998889246306383</v>
      </c>
      <c r="L21" s="310">
        <v>1573.8488026262708</v>
      </c>
      <c r="M21" s="311">
        <v>545</v>
      </c>
      <c r="N21" s="312">
        <f t="shared" si="10"/>
        <v>2.8877959681215977</v>
      </c>
      <c r="O21" s="310">
        <v>1417.0915575999968</v>
      </c>
      <c r="P21" s="311">
        <v>490.57881768420009</v>
      </c>
      <c r="Q21" s="312">
        <f t="shared" si="11"/>
        <v>2.8886113841796979</v>
      </c>
      <c r="R21" s="308">
        <v>1901.5902136878963</v>
      </c>
      <c r="S21" s="235">
        <v>725.99999999999341</v>
      </c>
      <c r="T21" s="309">
        <f t="shared" si="12"/>
        <v>2.6192702667877596</v>
      </c>
      <c r="U21" s="310">
        <v>2110.2436191029292</v>
      </c>
      <c r="V21" s="311">
        <v>774.40132811116769</v>
      </c>
      <c r="W21" s="313">
        <f t="shared" si="13"/>
        <v>2.7249999999999965</v>
      </c>
    </row>
    <row r="22" spans="1:23" x14ac:dyDescent="0.2">
      <c r="A22" s="91"/>
      <c r="B22" s="291" t="s">
        <v>9</v>
      </c>
      <c r="C22" s="310">
        <v>1460.4911630021884</v>
      </c>
      <c r="D22" s="311">
        <v>645</v>
      </c>
      <c r="E22" s="312">
        <f t="shared" si="7"/>
        <v>2.2643273844995169</v>
      </c>
      <c r="F22" s="310">
        <v>1256</v>
      </c>
      <c r="G22" s="311">
        <v>611</v>
      </c>
      <c r="H22" s="312">
        <f t="shared" si="8"/>
        <v>2.0556464811783961</v>
      </c>
      <c r="I22" s="310">
        <v>1677.5127955523812</v>
      </c>
      <c r="J22" s="311">
        <v>698.93999999999983</v>
      </c>
      <c r="K22" s="312">
        <f t="shared" si="9"/>
        <v>2.4000812595535836</v>
      </c>
      <c r="L22" s="310">
        <v>1410.760805739824</v>
      </c>
      <c r="M22" s="311">
        <v>510</v>
      </c>
      <c r="N22" s="312">
        <f t="shared" si="10"/>
        <v>2.7661976583133803</v>
      </c>
      <c r="O22" s="310">
        <v>1184.3359883859987</v>
      </c>
      <c r="P22" s="311">
        <v>428.44947808519987</v>
      </c>
      <c r="Q22" s="312">
        <f t="shared" si="11"/>
        <v>2.7642372064005318</v>
      </c>
      <c r="R22" s="308">
        <v>1845.9353191343514</v>
      </c>
      <c r="S22" s="235">
        <v>695.99999999999397</v>
      </c>
      <c r="T22" s="309">
        <f t="shared" si="12"/>
        <v>2.652205918296505</v>
      </c>
      <c r="U22" s="310">
        <v>2274.4804648994314</v>
      </c>
      <c r="V22" s="311">
        <v>865.51026540420844</v>
      </c>
      <c r="W22" s="313">
        <f t="shared" si="13"/>
        <v>2.6279069767441858</v>
      </c>
    </row>
    <row r="23" spans="1:23" x14ac:dyDescent="0.2">
      <c r="A23" s="50"/>
      <c r="B23" s="314"/>
      <c r="C23" s="304"/>
      <c r="D23" s="305"/>
      <c r="E23" s="299"/>
      <c r="F23" s="304"/>
      <c r="G23" s="305"/>
      <c r="H23" s="299"/>
      <c r="I23" s="304"/>
      <c r="J23" s="305"/>
      <c r="K23" s="299"/>
      <c r="L23" s="304"/>
      <c r="M23" s="305"/>
      <c r="N23" s="299"/>
      <c r="O23" s="304"/>
      <c r="P23" s="305"/>
      <c r="Q23" s="299"/>
      <c r="R23" s="315"/>
      <c r="S23" s="305"/>
      <c r="T23" s="300"/>
      <c r="U23" s="304"/>
      <c r="V23" s="305"/>
      <c r="W23" s="300"/>
    </row>
    <row r="24" spans="1:23" ht="12.75" customHeight="1" x14ac:dyDescent="0.2">
      <c r="A24" s="50"/>
      <c r="B24" s="316" t="s">
        <v>105</v>
      </c>
      <c r="C24" s="319">
        <f>SUM(C26:C27)</f>
        <v>2099.3652408307266</v>
      </c>
      <c r="D24" s="317">
        <f>SUM(D26:D27)</f>
        <v>1145.9999999999995</v>
      </c>
      <c r="E24" s="320">
        <f>C24/D24</f>
        <v>1.8319068419116296</v>
      </c>
      <c r="F24" s="319">
        <v>2533</v>
      </c>
      <c r="G24" s="317">
        <v>1066</v>
      </c>
      <c r="H24" s="320">
        <f>F24/G24</f>
        <v>2.376172607879925</v>
      </c>
      <c r="I24" s="319">
        <v>2005.6776883639413</v>
      </c>
      <c r="J24" s="317">
        <v>872.09999999999991</v>
      </c>
      <c r="K24" s="320">
        <f>I24/J24</f>
        <v>2.2998253507211803</v>
      </c>
      <c r="L24" s="319">
        <v>2237.9215429350029</v>
      </c>
      <c r="M24" s="317">
        <v>1167</v>
      </c>
      <c r="N24" s="320">
        <f>L24/M24</f>
        <v>1.9176705594987171</v>
      </c>
      <c r="O24" s="319">
        <v>1703.2934293008818</v>
      </c>
      <c r="P24" s="317">
        <v>887.66290570209958</v>
      </c>
      <c r="Q24" s="320">
        <f>O24/P24</f>
        <v>1.9188516478039115</v>
      </c>
      <c r="R24" s="317">
        <v>2256.8377041132494</v>
      </c>
      <c r="S24" s="317">
        <v>1060.0000000000093</v>
      </c>
      <c r="T24" s="318">
        <f>R24/S24</f>
        <v>2.1290921736917259</v>
      </c>
      <c r="U24" s="319">
        <v>2304.0454219533412</v>
      </c>
      <c r="V24" s="317">
        <v>1312.6598177791445</v>
      </c>
      <c r="W24" s="318">
        <f>U24/V24</f>
        <v>1.7552494490548942</v>
      </c>
    </row>
    <row r="25" spans="1:23" x14ac:dyDescent="0.2">
      <c r="A25" s="50"/>
      <c r="B25" s="291"/>
      <c r="C25" s="235"/>
      <c r="D25" s="302"/>
      <c r="E25" s="296"/>
      <c r="F25" s="235"/>
      <c r="G25" s="302"/>
      <c r="H25" s="296"/>
      <c r="I25" s="235"/>
      <c r="J25" s="302"/>
      <c r="K25" s="296"/>
    </row>
    <row r="26" spans="1:23" ht="12.75" hidden="1" customHeight="1" x14ac:dyDescent="0.2">
      <c r="B26" s="291" t="s">
        <v>49</v>
      </c>
      <c r="C26" s="235">
        <v>1887.3215430764633</v>
      </c>
      <c r="D26" s="321">
        <v>945.44999999999948</v>
      </c>
      <c r="E26" s="309">
        <f t="shared" ref="E26:E27" si="14">C26/D26</f>
        <v>1.9962150754418153</v>
      </c>
      <c r="F26" s="235">
        <v>1887.3215430764633</v>
      </c>
      <c r="G26" s="321">
        <v>945.44999999999948</v>
      </c>
      <c r="H26" s="309">
        <f t="shared" ref="H26:H27" si="15">F26/G26</f>
        <v>1.9962150754418153</v>
      </c>
      <c r="I26" s="235">
        <v>1887.3215430764633</v>
      </c>
      <c r="J26" s="321">
        <v>945.44999999999948</v>
      </c>
      <c r="K26" s="309">
        <f t="shared" ref="K26:K27" si="16">I26/J26</f>
        <v>1.9962150754418153</v>
      </c>
    </row>
    <row r="27" spans="1:23" ht="12.75" hidden="1" customHeight="1" x14ac:dyDescent="0.2">
      <c r="B27" s="322" t="s">
        <v>50</v>
      </c>
      <c r="C27" s="323">
        <v>212.04369775426352</v>
      </c>
      <c r="D27" s="324">
        <v>200.55</v>
      </c>
      <c r="E27" s="325">
        <f t="shared" si="14"/>
        <v>1.0573108838407554</v>
      </c>
      <c r="F27" s="323">
        <v>212.04369775426352</v>
      </c>
      <c r="G27" s="324">
        <v>200.55</v>
      </c>
      <c r="H27" s="325">
        <f t="shared" si="15"/>
        <v>1.0573108838407554</v>
      </c>
      <c r="I27" s="323">
        <v>212.04369775426352</v>
      </c>
      <c r="J27" s="324">
        <v>200.55</v>
      </c>
      <c r="K27" s="325">
        <f t="shared" si="16"/>
        <v>1.0573108838407554</v>
      </c>
    </row>
    <row r="29" spans="1:23" x14ac:dyDescent="0.2">
      <c r="B29" s="66" t="s">
        <v>119</v>
      </c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</row>
    <row r="30" spans="1:23" x14ac:dyDescent="0.2"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</row>
    <row r="31" spans="1:23" x14ac:dyDescent="0.2">
      <c r="B31" s="314" t="s">
        <v>117</v>
      </c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</row>
    <row r="32" spans="1:23" ht="15" x14ac:dyDescent="0.25">
      <c r="D32" s="42"/>
      <c r="E32" s="42"/>
      <c r="F32" s="42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</row>
    <row r="33" spans="3:24" ht="15" x14ac:dyDescent="0.25">
      <c r="G33" s="46"/>
      <c r="H33" s="46"/>
      <c r="I33" s="46"/>
      <c r="J33" s="46"/>
      <c r="K33" s="46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42"/>
    </row>
    <row r="34" spans="3:24" ht="15" x14ac:dyDescent="0.25">
      <c r="G34" s="46"/>
      <c r="H34" s="46"/>
      <c r="I34" s="46"/>
      <c r="J34" s="46"/>
      <c r="K34" s="46"/>
      <c r="L34" s="109"/>
      <c r="M34" s="110"/>
      <c r="N34" s="110"/>
      <c r="O34" s="110"/>
      <c r="P34" s="109"/>
      <c r="Q34" s="109"/>
      <c r="R34" s="109"/>
      <c r="S34" s="109"/>
      <c r="T34" s="109"/>
      <c r="U34" s="109"/>
      <c r="V34" s="109"/>
      <c r="W34" s="109"/>
      <c r="X34" s="42"/>
    </row>
    <row r="35" spans="3:24" ht="15" x14ac:dyDescent="0.25">
      <c r="C35" s="326"/>
      <c r="D35" s="327"/>
      <c r="G35" s="46"/>
      <c r="H35" s="46"/>
      <c r="I35" s="46"/>
      <c r="J35" s="46"/>
      <c r="K35" s="111"/>
      <c r="L35" s="110"/>
      <c r="M35" s="110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42"/>
    </row>
    <row r="36" spans="3:24" ht="13.5" customHeight="1" x14ac:dyDescent="0.25">
      <c r="C36" s="326"/>
      <c r="D36" s="327"/>
      <c r="E36" s="328"/>
      <c r="F36" s="328"/>
      <c r="G36" s="112"/>
      <c r="H36" s="112"/>
      <c r="I36" s="46"/>
      <c r="J36" s="46"/>
      <c r="K36" s="46"/>
      <c r="L36" s="78"/>
      <c r="M36" s="59"/>
      <c r="N36" s="329"/>
      <c r="O36" s="109"/>
      <c r="P36" s="109"/>
      <c r="Q36" s="109"/>
      <c r="R36" s="109"/>
      <c r="S36" s="109"/>
      <c r="T36" s="109"/>
      <c r="U36" s="109"/>
      <c r="V36" s="109"/>
      <c r="W36" s="109"/>
    </row>
    <row r="37" spans="3:24" ht="15" x14ac:dyDescent="0.25">
      <c r="C37" s="326"/>
      <c r="D37" s="327"/>
      <c r="E37" s="328"/>
      <c r="F37" s="328"/>
      <c r="G37" s="112"/>
      <c r="H37" s="112"/>
      <c r="I37" s="46"/>
      <c r="J37" s="46"/>
      <c r="K37" s="46"/>
      <c r="L37" s="78"/>
      <c r="M37" s="59"/>
      <c r="N37" s="329"/>
      <c r="O37" s="109"/>
      <c r="P37" s="109"/>
      <c r="Q37" s="109"/>
      <c r="R37" s="109"/>
      <c r="S37" s="109"/>
      <c r="T37" s="109"/>
      <c r="U37" s="109"/>
      <c r="V37" s="109"/>
      <c r="W37" s="109"/>
    </row>
    <row r="38" spans="3:24" ht="13.5" customHeight="1" x14ac:dyDescent="0.25">
      <c r="C38" s="331"/>
      <c r="D38" s="332"/>
      <c r="E38" s="328"/>
      <c r="F38" s="328"/>
      <c r="G38" s="112"/>
      <c r="H38" s="112"/>
      <c r="I38" s="46"/>
      <c r="J38" s="46"/>
      <c r="K38" s="46"/>
      <c r="L38" s="78"/>
      <c r="M38" s="59"/>
      <c r="N38" s="329"/>
      <c r="O38" s="109"/>
      <c r="P38" s="109"/>
      <c r="Q38" s="109"/>
      <c r="R38" s="109"/>
      <c r="S38" s="109"/>
      <c r="T38" s="109"/>
      <c r="U38" s="109"/>
      <c r="V38" s="109"/>
      <c r="W38" s="109"/>
    </row>
    <row r="39" spans="3:24" ht="15" x14ac:dyDescent="0.25">
      <c r="C39" s="331"/>
      <c r="D39" s="332"/>
      <c r="E39" s="328"/>
      <c r="F39" s="328"/>
      <c r="G39" s="112"/>
      <c r="H39" s="112"/>
      <c r="I39" s="46"/>
      <c r="J39" s="46"/>
      <c r="K39" s="46"/>
      <c r="L39" s="78"/>
      <c r="M39" s="59"/>
      <c r="N39" s="109"/>
      <c r="O39" s="109"/>
      <c r="P39" s="109"/>
      <c r="Q39" s="109"/>
      <c r="R39" s="109"/>
      <c r="S39" s="109"/>
      <c r="T39" s="109"/>
      <c r="U39" s="109"/>
      <c r="V39" s="109"/>
      <c r="W39" s="109"/>
    </row>
    <row r="40" spans="3:24" ht="15" x14ac:dyDescent="0.25">
      <c r="C40" s="331"/>
      <c r="D40" s="332"/>
      <c r="E40" s="328"/>
      <c r="F40" s="328"/>
      <c r="G40" s="112"/>
      <c r="H40" s="112"/>
      <c r="I40" s="46"/>
      <c r="J40" s="46"/>
      <c r="K40" s="46"/>
      <c r="L40" s="78"/>
      <c r="M40" s="59"/>
      <c r="N40" s="109"/>
      <c r="O40" s="109"/>
      <c r="P40" s="109"/>
      <c r="Q40" s="109"/>
      <c r="R40" s="109"/>
      <c r="S40" s="109"/>
      <c r="T40" s="109"/>
      <c r="U40" s="109"/>
      <c r="V40" s="109"/>
      <c r="W40" s="109"/>
    </row>
    <row r="41" spans="3:24" ht="15" x14ac:dyDescent="0.25">
      <c r="C41" s="331"/>
      <c r="D41" s="332"/>
      <c r="E41" s="328"/>
      <c r="F41" s="328"/>
      <c r="G41" s="112"/>
      <c r="H41" s="112"/>
      <c r="I41" s="46"/>
      <c r="J41" s="46"/>
      <c r="K41" s="46"/>
      <c r="L41" s="53"/>
      <c r="M41" s="59"/>
      <c r="N41" s="109"/>
      <c r="O41" s="109"/>
      <c r="P41" s="109"/>
      <c r="Q41" s="109"/>
      <c r="R41" s="109"/>
      <c r="S41" s="109"/>
      <c r="T41" s="109"/>
      <c r="U41" s="109"/>
      <c r="V41" s="109"/>
      <c r="W41" s="109"/>
    </row>
    <row r="42" spans="3:24" ht="15" x14ac:dyDescent="0.25">
      <c r="C42" s="331"/>
      <c r="D42" s="332"/>
      <c r="E42" s="328"/>
      <c r="F42" s="328"/>
      <c r="G42" s="112"/>
      <c r="H42" s="112"/>
      <c r="I42" s="46"/>
      <c r="J42" s="46"/>
      <c r="K42" s="46"/>
      <c r="L42" s="108"/>
      <c r="M42" s="59"/>
      <c r="N42" s="109"/>
      <c r="O42" s="109"/>
      <c r="P42" s="109"/>
      <c r="Q42" s="109"/>
      <c r="R42" s="109"/>
      <c r="S42" s="109"/>
      <c r="T42" s="109"/>
      <c r="U42" s="109"/>
      <c r="V42" s="109"/>
      <c r="W42" s="109"/>
    </row>
    <row r="43" spans="3:24" x14ac:dyDescent="0.2">
      <c r="C43" s="331"/>
      <c r="D43" s="332"/>
      <c r="E43" s="328"/>
      <c r="F43" s="328"/>
      <c r="G43" s="112"/>
      <c r="H43" s="112"/>
      <c r="I43" s="46"/>
      <c r="J43" s="46"/>
      <c r="K43" s="46"/>
      <c r="L43" s="59"/>
      <c r="M43" s="59"/>
      <c r="N43" s="59"/>
      <c r="O43" s="59"/>
      <c r="P43" s="46"/>
      <c r="Q43" s="46"/>
      <c r="R43" s="59"/>
      <c r="S43" s="46"/>
      <c r="T43" s="46"/>
      <c r="U43" s="59"/>
      <c r="V43" s="46"/>
      <c r="W43" s="46"/>
    </row>
    <row r="44" spans="3:24" x14ac:dyDescent="0.2">
      <c r="C44" s="331"/>
      <c r="D44" s="332"/>
      <c r="E44" s="328"/>
      <c r="F44" s="328"/>
      <c r="G44" s="112"/>
      <c r="H44" s="112"/>
      <c r="I44" s="46"/>
      <c r="J44" s="46"/>
      <c r="K44" s="46"/>
      <c r="L44" s="59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</row>
    <row r="45" spans="3:24" ht="13.5" customHeight="1" x14ac:dyDescent="0.2">
      <c r="C45" s="332"/>
      <c r="D45" s="333"/>
      <c r="E45" s="328"/>
      <c r="F45" s="328"/>
      <c r="G45" s="112"/>
      <c r="H45" s="112"/>
      <c r="I45" s="64"/>
      <c r="J45" s="64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</row>
    <row r="46" spans="3:24" ht="13.5" customHeight="1" x14ac:dyDescent="0.2">
      <c r="C46" s="330"/>
      <c r="D46" s="330"/>
      <c r="E46" s="328"/>
      <c r="F46" s="328"/>
      <c r="G46" s="112"/>
      <c r="H46" s="112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</row>
    <row r="47" spans="3:24" x14ac:dyDescent="0.2"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</row>
    <row r="48" spans="3:24" x14ac:dyDescent="0.2"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</row>
    <row r="49" spans="2:23" x14ac:dyDescent="0.2"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</row>
    <row r="50" spans="2:23" x14ac:dyDescent="0.2"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</row>
    <row r="51" spans="2:23" x14ac:dyDescent="0.2"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</row>
    <row r="52" spans="2:23" x14ac:dyDescent="0.2"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</row>
    <row r="53" spans="2:23" x14ac:dyDescent="0.2"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</row>
    <row r="54" spans="2:23" ht="12.75" customHeight="1" x14ac:dyDescent="0.2">
      <c r="B54" s="423" t="s">
        <v>112</v>
      </c>
      <c r="C54" s="423"/>
      <c r="D54" s="423"/>
      <c r="E54" s="423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</row>
    <row r="55" spans="2:23" x14ac:dyDescent="0.2">
      <c r="B55" s="340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</row>
    <row r="56" spans="2:23" x14ac:dyDescent="0.2"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</row>
    <row r="57" spans="2:23" ht="12" customHeight="1" x14ac:dyDescent="0.2">
      <c r="B57" s="101"/>
    </row>
  </sheetData>
  <mergeCells count="10">
    <mergeCell ref="C9:W9"/>
    <mergeCell ref="U11:W11"/>
    <mergeCell ref="R11:T11"/>
    <mergeCell ref="O11:Q11"/>
    <mergeCell ref="L11:N11"/>
    <mergeCell ref="B54:E54"/>
    <mergeCell ref="I11:K11"/>
    <mergeCell ref="B11:B12"/>
    <mergeCell ref="F11:H11"/>
    <mergeCell ref="C11:E11"/>
  </mergeCells>
  <pageMargins left="0.7" right="0.7" top="0.75" bottom="0.75" header="0.3" footer="0.3"/>
  <pageSetup scale="56" orientation="landscape" r:id="rId1"/>
  <ignoredErrors>
    <ignoredError sqref="E14:E16 H14:H16 K14:K16 N14:N16 Q14:Q16 T14 T16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7270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19050</xdr:rowOff>
              </from>
              <to>
                <xdr:col>1</xdr:col>
                <xdr:colOff>676275</xdr:colOff>
                <xdr:row>3</xdr:row>
                <xdr:rowOff>28575</xdr:rowOff>
              </to>
            </anchor>
          </objectPr>
        </oleObject>
      </mc:Choice>
      <mc:Fallback>
        <oleObject progId="MSPhotoEd.3" shapeId="72705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3:T50"/>
  <sheetViews>
    <sheetView zoomScaleNormal="100" zoomScaleSheetLayoutView="100" workbookViewId="0">
      <selection activeCell="R6" sqref="R6"/>
    </sheetView>
  </sheetViews>
  <sheetFormatPr defaultRowHeight="12.75" x14ac:dyDescent="0.2"/>
  <cols>
    <col min="1" max="1" width="9.140625" style="44"/>
    <col min="2" max="2" width="15.85546875" style="44" customWidth="1"/>
    <col min="3" max="18" width="11.140625" style="44" customWidth="1"/>
    <col min="19" max="248" width="9.140625" style="44"/>
    <col min="249" max="249" width="15.85546875" style="44" customWidth="1"/>
    <col min="250" max="250" width="8" style="44" customWidth="1"/>
    <col min="251" max="251" width="7.85546875" style="44" customWidth="1"/>
    <col min="252" max="252" width="8" style="44" customWidth="1"/>
    <col min="253" max="257" width="8.140625" style="44" customWidth="1"/>
    <col min="258" max="258" width="8.28515625" style="44" customWidth="1"/>
    <col min="259" max="259" width="1.5703125" style="44" customWidth="1"/>
    <col min="260" max="260" width="0" style="44" hidden="1" customWidth="1"/>
    <col min="261" max="504" width="9.140625" style="44"/>
    <col min="505" max="505" width="15.85546875" style="44" customWidth="1"/>
    <col min="506" max="506" width="8" style="44" customWidth="1"/>
    <col min="507" max="507" width="7.85546875" style="44" customWidth="1"/>
    <col min="508" max="508" width="8" style="44" customWidth="1"/>
    <col min="509" max="513" width="8.140625" style="44" customWidth="1"/>
    <col min="514" max="514" width="8.28515625" style="44" customWidth="1"/>
    <col min="515" max="515" width="1.5703125" style="44" customWidth="1"/>
    <col min="516" max="516" width="0" style="44" hidden="1" customWidth="1"/>
    <col min="517" max="760" width="9.140625" style="44"/>
    <col min="761" max="761" width="15.85546875" style="44" customWidth="1"/>
    <col min="762" max="762" width="8" style="44" customWidth="1"/>
    <col min="763" max="763" width="7.85546875" style="44" customWidth="1"/>
    <col min="764" max="764" width="8" style="44" customWidth="1"/>
    <col min="765" max="769" width="8.140625" style="44" customWidth="1"/>
    <col min="770" max="770" width="8.28515625" style="44" customWidth="1"/>
    <col min="771" max="771" width="1.5703125" style="44" customWidth="1"/>
    <col min="772" max="772" width="0" style="44" hidden="1" customWidth="1"/>
    <col min="773" max="1016" width="9.140625" style="44"/>
    <col min="1017" max="1017" width="15.85546875" style="44" customWidth="1"/>
    <col min="1018" max="1018" width="8" style="44" customWidth="1"/>
    <col min="1019" max="1019" width="7.85546875" style="44" customWidth="1"/>
    <col min="1020" max="1020" width="8" style="44" customWidth="1"/>
    <col min="1021" max="1025" width="8.140625" style="44" customWidth="1"/>
    <col min="1026" max="1026" width="8.28515625" style="44" customWidth="1"/>
    <col min="1027" max="1027" width="1.5703125" style="44" customWidth="1"/>
    <col min="1028" max="1028" width="0" style="44" hidden="1" customWidth="1"/>
    <col min="1029" max="1272" width="9.140625" style="44"/>
    <col min="1273" max="1273" width="15.85546875" style="44" customWidth="1"/>
    <col min="1274" max="1274" width="8" style="44" customWidth="1"/>
    <col min="1275" max="1275" width="7.85546875" style="44" customWidth="1"/>
    <col min="1276" max="1276" width="8" style="44" customWidth="1"/>
    <col min="1277" max="1281" width="8.140625" style="44" customWidth="1"/>
    <col min="1282" max="1282" width="8.28515625" style="44" customWidth="1"/>
    <col min="1283" max="1283" width="1.5703125" style="44" customWidth="1"/>
    <col min="1284" max="1284" width="0" style="44" hidden="1" customWidth="1"/>
    <col min="1285" max="1528" width="9.140625" style="44"/>
    <col min="1529" max="1529" width="15.85546875" style="44" customWidth="1"/>
    <col min="1530" max="1530" width="8" style="44" customWidth="1"/>
    <col min="1531" max="1531" width="7.85546875" style="44" customWidth="1"/>
    <col min="1532" max="1532" width="8" style="44" customWidth="1"/>
    <col min="1533" max="1537" width="8.140625" style="44" customWidth="1"/>
    <col min="1538" max="1538" width="8.28515625" style="44" customWidth="1"/>
    <col min="1539" max="1539" width="1.5703125" style="44" customWidth="1"/>
    <col min="1540" max="1540" width="0" style="44" hidden="1" customWidth="1"/>
    <col min="1541" max="1784" width="9.140625" style="44"/>
    <col min="1785" max="1785" width="15.85546875" style="44" customWidth="1"/>
    <col min="1786" max="1786" width="8" style="44" customWidth="1"/>
    <col min="1787" max="1787" width="7.85546875" style="44" customWidth="1"/>
    <col min="1788" max="1788" width="8" style="44" customWidth="1"/>
    <col min="1789" max="1793" width="8.140625" style="44" customWidth="1"/>
    <col min="1794" max="1794" width="8.28515625" style="44" customWidth="1"/>
    <col min="1795" max="1795" width="1.5703125" style="44" customWidth="1"/>
    <col min="1796" max="1796" width="0" style="44" hidden="1" customWidth="1"/>
    <col min="1797" max="2040" width="9.140625" style="44"/>
    <col min="2041" max="2041" width="15.85546875" style="44" customWidth="1"/>
    <col min="2042" max="2042" width="8" style="44" customWidth="1"/>
    <col min="2043" max="2043" width="7.85546875" style="44" customWidth="1"/>
    <col min="2044" max="2044" width="8" style="44" customWidth="1"/>
    <col min="2045" max="2049" width="8.140625" style="44" customWidth="1"/>
    <col min="2050" max="2050" width="8.28515625" style="44" customWidth="1"/>
    <col min="2051" max="2051" width="1.5703125" style="44" customWidth="1"/>
    <col min="2052" max="2052" width="0" style="44" hidden="1" customWidth="1"/>
    <col min="2053" max="2296" width="9.140625" style="44"/>
    <col min="2297" max="2297" width="15.85546875" style="44" customWidth="1"/>
    <col min="2298" max="2298" width="8" style="44" customWidth="1"/>
    <col min="2299" max="2299" width="7.85546875" style="44" customWidth="1"/>
    <col min="2300" max="2300" width="8" style="44" customWidth="1"/>
    <col min="2301" max="2305" width="8.140625" style="44" customWidth="1"/>
    <col min="2306" max="2306" width="8.28515625" style="44" customWidth="1"/>
    <col min="2307" max="2307" width="1.5703125" style="44" customWidth="1"/>
    <col min="2308" max="2308" width="0" style="44" hidden="1" customWidth="1"/>
    <col min="2309" max="2552" width="9.140625" style="44"/>
    <col min="2553" max="2553" width="15.85546875" style="44" customWidth="1"/>
    <col min="2554" max="2554" width="8" style="44" customWidth="1"/>
    <col min="2555" max="2555" width="7.85546875" style="44" customWidth="1"/>
    <col min="2556" max="2556" width="8" style="44" customWidth="1"/>
    <col min="2557" max="2561" width="8.140625" style="44" customWidth="1"/>
    <col min="2562" max="2562" width="8.28515625" style="44" customWidth="1"/>
    <col min="2563" max="2563" width="1.5703125" style="44" customWidth="1"/>
    <col min="2564" max="2564" width="0" style="44" hidden="1" customWidth="1"/>
    <col min="2565" max="2808" width="9.140625" style="44"/>
    <col min="2809" max="2809" width="15.85546875" style="44" customWidth="1"/>
    <col min="2810" max="2810" width="8" style="44" customWidth="1"/>
    <col min="2811" max="2811" width="7.85546875" style="44" customWidth="1"/>
    <col min="2812" max="2812" width="8" style="44" customWidth="1"/>
    <col min="2813" max="2817" width="8.140625" style="44" customWidth="1"/>
    <col min="2818" max="2818" width="8.28515625" style="44" customWidth="1"/>
    <col min="2819" max="2819" width="1.5703125" style="44" customWidth="1"/>
    <col min="2820" max="2820" width="0" style="44" hidden="1" customWidth="1"/>
    <col min="2821" max="3064" width="9.140625" style="44"/>
    <col min="3065" max="3065" width="15.85546875" style="44" customWidth="1"/>
    <col min="3066" max="3066" width="8" style="44" customWidth="1"/>
    <col min="3067" max="3067" width="7.85546875" style="44" customWidth="1"/>
    <col min="3068" max="3068" width="8" style="44" customWidth="1"/>
    <col min="3069" max="3073" width="8.140625" style="44" customWidth="1"/>
    <col min="3074" max="3074" width="8.28515625" style="44" customWidth="1"/>
    <col min="3075" max="3075" width="1.5703125" style="44" customWidth="1"/>
    <col min="3076" max="3076" width="0" style="44" hidden="1" customWidth="1"/>
    <col min="3077" max="3320" width="9.140625" style="44"/>
    <col min="3321" max="3321" width="15.85546875" style="44" customWidth="1"/>
    <col min="3322" max="3322" width="8" style="44" customWidth="1"/>
    <col min="3323" max="3323" width="7.85546875" style="44" customWidth="1"/>
    <col min="3324" max="3324" width="8" style="44" customWidth="1"/>
    <col min="3325" max="3329" width="8.140625" style="44" customWidth="1"/>
    <col min="3330" max="3330" width="8.28515625" style="44" customWidth="1"/>
    <col min="3331" max="3331" width="1.5703125" style="44" customWidth="1"/>
    <col min="3332" max="3332" width="0" style="44" hidden="1" customWidth="1"/>
    <col min="3333" max="3576" width="9.140625" style="44"/>
    <col min="3577" max="3577" width="15.85546875" style="44" customWidth="1"/>
    <col min="3578" max="3578" width="8" style="44" customWidth="1"/>
    <col min="3579" max="3579" width="7.85546875" style="44" customWidth="1"/>
    <col min="3580" max="3580" width="8" style="44" customWidth="1"/>
    <col min="3581" max="3585" width="8.140625" style="44" customWidth="1"/>
    <col min="3586" max="3586" width="8.28515625" style="44" customWidth="1"/>
    <col min="3587" max="3587" width="1.5703125" style="44" customWidth="1"/>
    <col min="3588" max="3588" width="0" style="44" hidden="1" customWidth="1"/>
    <col min="3589" max="3832" width="9.140625" style="44"/>
    <col min="3833" max="3833" width="15.85546875" style="44" customWidth="1"/>
    <col min="3834" max="3834" width="8" style="44" customWidth="1"/>
    <col min="3835" max="3835" width="7.85546875" style="44" customWidth="1"/>
    <col min="3836" max="3836" width="8" style="44" customWidth="1"/>
    <col min="3837" max="3841" width="8.140625" style="44" customWidth="1"/>
    <col min="3842" max="3842" width="8.28515625" style="44" customWidth="1"/>
    <col min="3843" max="3843" width="1.5703125" style="44" customWidth="1"/>
    <col min="3844" max="3844" width="0" style="44" hidden="1" customWidth="1"/>
    <col min="3845" max="4088" width="9.140625" style="44"/>
    <col min="4089" max="4089" width="15.85546875" style="44" customWidth="1"/>
    <col min="4090" max="4090" width="8" style="44" customWidth="1"/>
    <col min="4091" max="4091" width="7.85546875" style="44" customWidth="1"/>
    <col min="4092" max="4092" width="8" style="44" customWidth="1"/>
    <col min="4093" max="4097" width="8.140625" style="44" customWidth="1"/>
    <col min="4098" max="4098" width="8.28515625" style="44" customWidth="1"/>
    <col min="4099" max="4099" width="1.5703125" style="44" customWidth="1"/>
    <col min="4100" max="4100" width="0" style="44" hidden="1" customWidth="1"/>
    <col min="4101" max="4344" width="9.140625" style="44"/>
    <col min="4345" max="4345" width="15.85546875" style="44" customWidth="1"/>
    <col min="4346" max="4346" width="8" style="44" customWidth="1"/>
    <col min="4347" max="4347" width="7.85546875" style="44" customWidth="1"/>
    <col min="4348" max="4348" width="8" style="44" customWidth="1"/>
    <col min="4349" max="4353" width="8.140625" style="44" customWidth="1"/>
    <col min="4354" max="4354" width="8.28515625" style="44" customWidth="1"/>
    <col min="4355" max="4355" width="1.5703125" style="44" customWidth="1"/>
    <col min="4356" max="4356" width="0" style="44" hidden="1" customWidth="1"/>
    <col min="4357" max="4600" width="9.140625" style="44"/>
    <col min="4601" max="4601" width="15.85546875" style="44" customWidth="1"/>
    <col min="4602" max="4602" width="8" style="44" customWidth="1"/>
    <col min="4603" max="4603" width="7.85546875" style="44" customWidth="1"/>
    <col min="4604" max="4604" width="8" style="44" customWidth="1"/>
    <col min="4605" max="4609" width="8.140625" style="44" customWidth="1"/>
    <col min="4610" max="4610" width="8.28515625" style="44" customWidth="1"/>
    <col min="4611" max="4611" width="1.5703125" style="44" customWidth="1"/>
    <col min="4612" max="4612" width="0" style="44" hidden="1" customWidth="1"/>
    <col min="4613" max="4856" width="9.140625" style="44"/>
    <col min="4857" max="4857" width="15.85546875" style="44" customWidth="1"/>
    <col min="4858" max="4858" width="8" style="44" customWidth="1"/>
    <col min="4859" max="4859" width="7.85546875" style="44" customWidth="1"/>
    <col min="4860" max="4860" width="8" style="44" customWidth="1"/>
    <col min="4861" max="4865" width="8.140625" style="44" customWidth="1"/>
    <col min="4866" max="4866" width="8.28515625" style="44" customWidth="1"/>
    <col min="4867" max="4867" width="1.5703125" style="44" customWidth="1"/>
    <col min="4868" max="4868" width="0" style="44" hidden="1" customWidth="1"/>
    <col min="4869" max="5112" width="9.140625" style="44"/>
    <col min="5113" max="5113" width="15.85546875" style="44" customWidth="1"/>
    <col min="5114" max="5114" width="8" style="44" customWidth="1"/>
    <col min="5115" max="5115" width="7.85546875" style="44" customWidth="1"/>
    <col min="5116" max="5116" width="8" style="44" customWidth="1"/>
    <col min="5117" max="5121" width="8.140625" style="44" customWidth="1"/>
    <col min="5122" max="5122" width="8.28515625" style="44" customWidth="1"/>
    <col min="5123" max="5123" width="1.5703125" style="44" customWidth="1"/>
    <col min="5124" max="5124" width="0" style="44" hidden="1" customWidth="1"/>
    <col min="5125" max="5368" width="9.140625" style="44"/>
    <col min="5369" max="5369" width="15.85546875" style="44" customWidth="1"/>
    <col min="5370" max="5370" width="8" style="44" customWidth="1"/>
    <col min="5371" max="5371" width="7.85546875" style="44" customWidth="1"/>
    <col min="5372" max="5372" width="8" style="44" customWidth="1"/>
    <col min="5373" max="5377" width="8.140625" style="44" customWidth="1"/>
    <col min="5378" max="5378" width="8.28515625" style="44" customWidth="1"/>
    <col min="5379" max="5379" width="1.5703125" style="44" customWidth="1"/>
    <col min="5380" max="5380" width="0" style="44" hidden="1" customWidth="1"/>
    <col min="5381" max="5624" width="9.140625" style="44"/>
    <col min="5625" max="5625" width="15.85546875" style="44" customWidth="1"/>
    <col min="5626" max="5626" width="8" style="44" customWidth="1"/>
    <col min="5627" max="5627" width="7.85546875" style="44" customWidth="1"/>
    <col min="5628" max="5628" width="8" style="44" customWidth="1"/>
    <col min="5629" max="5633" width="8.140625" style="44" customWidth="1"/>
    <col min="5634" max="5634" width="8.28515625" style="44" customWidth="1"/>
    <col min="5635" max="5635" width="1.5703125" style="44" customWidth="1"/>
    <col min="5636" max="5636" width="0" style="44" hidden="1" customWidth="1"/>
    <col min="5637" max="5880" width="9.140625" style="44"/>
    <col min="5881" max="5881" width="15.85546875" style="44" customWidth="1"/>
    <col min="5882" max="5882" width="8" style="44" customWidth="1"/>
    <col min="5883" max="5883" width="7.85546875" style="44" customWidth="1"/>
    <col min="5884" max="5884" width="8" style="44" customWidth="1"/>
    <col min="5885" max="5889" width="8.140625" style="44" customWidth="1"/>
    <col min="5890" max="5890" width="8.28515625" style="44" customWidth="1"/>
    <col min="5891" max="5891" width="1.5703125" style="44" customWidth="1"/>
    <col min="5892" max="5892" width="0" style="44" hidden="1" customWidth="1"/>
    <col min="5893" max="6136" width="9.140625" style="44"/>
    <col min="6137" max="6137" width="15.85546875" style="44" customWidth="1"/>
    <col min="6138" max="6138" width="8" style="44" customWidth="1"/>
    <col min="6139" max="6139" width="7.85546875" style="44" customWidth="1"/>
    <col min="6140" max="6140" width="8" style="44" customWidth="1"/>
    <col min="6141" max="6145" width="8.140625" style="44" customWidth="1"/>
    <col min="6146" max="6146" width="8.28515625" style="44" customWidth="1"/>
    <col min="6147" max="6147" width="1.5703125" style="44" customWidth="1"/>
    <col min="6148" max="6148" width="0" style="44" hidden="1" customWidth="1"/>
    <col min="6149" max="6392" width="9.140625" style="44"/>
    <col min="6393" max="6393" width="15.85546875" style="44" customWidth="1"/>
    <col min="6394" max="6394" width="8" style="44" customWidth="1"/>
    <col min="6395" max="6395" width="7.85546875" style="44" customWidth="1"/>
    <col min="6396" max="6396" width="8" style="44" customWidth="1"/>
    <col min="6397" max="6401" width="8.140625" style="44" customWidth="1"/>
    <col min="6402" max="6402" width="8.28515625" style="44" customWidth="1"/>
    <col min="6403" max="6403" width="1.5703125" style="44" customWidth="1"/>
    <col min="6404" max="6404" width="0" style="44" hidden="1" customWidth="1"/>
    <col min="6405" max="6648" width="9.140625" style="44"/>
    <col min="6649" max="6649" width="15.85546875" style="44" customWidth="1"/>
    <col min="6650" max="6650" width="8" style="44" customWidth="1"/>
    <col min="6651" max="6651" width="7.85546875" style="44" customWidth="1"/>
    <col min="6652" max="6652" width="8" style="44" customWidth="1"/>
    <col min="6653" max="6657" width="8.140625" style="44" customWidth="1"/>
    <col min="6658" max="6658" width="8.28515625" style="44" customWidth="1"/>
    <col min="6659" max="6659" width="1.5703125" style="44" customWidth="1"/>
    <col min="6660" max="6660" width="0" style="44" hidden="1" customWidth="1"/>
    <col min="6661" max="6904" width="9.140625" style="44"/>
    <col min="6905" max="6905" width="15.85546875" style="44" customWidth="1"/>
    <col min="6906" max="6906" width="8" style="44" customWidth="1"/>
    <col min="6907" max="6907" width="7.85546875" style="44" customWidth="1"/>
    <col min="6908" max="6908" width="8" style="44" customWidth="1"/>
    <col min="6909" max="6913" width="8.140625" style="44" customWidth="1"/>
    <col min="6914" max="6914" width="8.28515625" style="44" customWidth="1"/>
    <col min="6915" max="6915" width="1.5703125" style="44" customWidth="1"/>
    <col min="6916" max="6916" width="0" style="44" hidden="1" customWidth="1"/>
    <col min="6917" max="7160" width="9.140625" style="44"/>
    <col min="7161" max="7161" width="15.85546875" style="44" customWidth="1"/>
    <col min="7162" max="7162" width="8" style="44" customWidth="1"/>
    <col min="7163" max="7163" width="7.85546875" style="44" customWidth="1"/>
    <col min="7164" max="7164" width="8" style="44" customWidth="1"/>
    <col min="7165" max="7169" width="8.140625" style="44" customWidth="1"/>
    <col min="7170" max="7170" width="8.28515625" style="44" customWidth="1"/>
    <col min="7171" max="7171" width="1.5703125" style="44" customWidth="1"/>
    <col min="7172" max="7172" width="0" style="44" hidden="1" customWidth="1"/>
    <col min="7173" max="7416" width="9.140625" style="44"/>
    <col min="7417" max="7417" width="15.85546875" style="44" customWidth="1"/>
    <col min="7418" max="7418" width="8" style="44" customWidth="1"/>
    <col min="7419" max="7419" width="7.85546875" style="44" customWidth="1"/>
    <col min="7420" max="7420" width="8" style="44" customWidth="1"/>
    <col min="7421" max="7425" width="8.140625" style="44" customWidth="1"/>
    <col min="7426" max="7426" width="8.28515625" style="44" customWidth="1"/>
    <col min="7427" max="7427" width="1.5703125" style="44" customWidth="1"/>
    <col min="7428" max="7428" width="0" style="44" hidden="1" customWidth="1"/>
    <col min="7429" max="7672" width="9.140625" style="44"/>
    <col min="7673" max="7673" width="15.85546875" style="44" customWidth="1"/>
    <col min="7674" max="7674" width="8" style="44" customWidth="1"/>
    <col min="7675" max="7675" width="7.85546875" style="44" customWidth="1"/>
    <col min="7676" max="7676" width="8" style="44" customWidth="1"/>
    <col min="7677" max="7681" width="8.140625" style="44" customWidth="1"/>
    <col min="7682" max="7682" width="8.28515625" style="44" customWidth="1"/>
    <col min="7683" max="7683" width="1.5703125" style="44" customWidth="1"/>
    <col min="7684" max="7684" width="0" style="44" hidden="1" customWidth="1"/>
    <col min="7685" max="7928" width="9.140625" style="44"/>
    <col min="7929" max="7929" width="15.85546875" style="44" customWidth="1"/>
    <col min="7930" max="7930" width="8" style="44" customWidth="1"/>
    <col min="7931" max="7931" width="7.85546875" style="44" customWidth="1"/>
    <col min="7932" max="7932" width="8" style="44" customWidth="1"/>
    <col min="7933" max="7937" width="8.140625" style="44" customWidth="1"/>
    <col min="7938" max="7938" width="8.28515625" style="44" customWidth="1"/>
    <col min="7939" max="7939" width="1.5703125" style="44" customWidth="1"/>
    <col min="7940" max="7940" width="0" style="44" hidden="1" customWidth="1"/>
    <col min="7941" max="8184" width="9.140625" style="44"/>
    <col min="8185" max="8185" width="15.85546875" style="44" customWidth="1"/>
    <col min="8186" max="8186" width="8" style="44" customWidth="1"/>
    <col min="8187" max="8187" width="7.85546875" style="44" customWidth="1"/>
    <col min="8188" max="8188" width="8" style="44" customWidth="1"/>
    <col min="8189" max="8193" width="8.140625" style="44" customWidth="1"/>
    <col min="8194" max="8194" width="8.28515625" style="44" customWidth="1"/>
    <col min="8195" max="8195" width="1.5703125" style="44" customWidth="1"/>
    <col min="8196" max="8196" width="0" style="44" hidden="1" customWidth="1"/>
    <col min="8197" max="8440" width="9.140625" style="44"/>
    <col min="8441" max="8441" width="15.85546875" style="44" customWidth="1"/>
    <col min="8442" max="8442" width="8" style="44" customWidth="1"/>
    <col min="8443" max="8443" width="7.85546875" style="44" customWidth="1"/>
    <col min="8444" max="8444" width="8" style="44" customWidth="1"/>
    <col min="8445" max="8449" width="8.140625" style="44" customWidth="1"/>
    <col min="8450" max="8450" width="8.28515625" style="44" customWidth="1"/>
    <col min="8451" max="8451" width="1.5703125" style="44" customWidth="1"/>
    <col min="8452" max="8452" width="0" style="44" hidden="1" customWidth="1"/>
    <col min="8453" max="8696" width="9.140625" style="44"/>
    <col min="8697" max="8697" width="15.85546875" style="44" customWidth="1"/>
    <col min="8698" max="8698" width="8" style="44" customWidth="1"/>
    <col min="8699" max="8699" width="7.85546875" style="44" customWidth="1"/>
    <col min="8700" max="8700" width="8" style="44" customWidth="1"/>
    <col min="8701" max="8705" width="8.140625" style="44" customWidth="1"/>
    <col min="8706" max="8706" width="8.28515625" style="44" customWidth="1"/>
    <col min="8707" max="8707" width="1.5703125" style="44" customWidth="1"/>
    <col min="8708" max="8708" width="0" style="44" hidden="1" customWidth="1"/>
    <col min="8709" max="8952" width="9.140625" style="44"/>
    <col min="8953" max="8953" width="15.85546875" style="44" customWidth="1"/>
    <col min="8954" max="8954" width="8" style="44" customWidth="1"/>
    <col min="8955" max="8955" width="7.85546875" style="44" customWidth="1"/>
    <col min="8956" max="8956" width="8" style="44" customWidth="1"/>
    <col min="8957" max="8961" width="8.140625" style="44" customWidth="1"/>
    <col min="8962" max="8962" width="8.28515625" style="44" customWidth="1"/>
    <col min="8963" max="8963" width="1.5703125" style="44" customWidth="1"/>
    <col min="8964" max="8964" width="0" style="44" hidden="1" customWidth="1"/>
    <col min="8965" max="9208" width="9.140625" style="44"/>
    <col min="9209" max="9209" width="15.85546875" style="44" customWidth="1"/>
    <col min="9210" max="9210" width="8" style="44" customWidth="1"/>
    <col min="9211" max="9211" width="7.85546875" style="44" customWidth="1"/>
    <col min="9212" max="9212" width="8" style="44" customWidth="1"/>
    <col min="9213" max="9217" width="8.140625" style="44" customWidth="1"/>
    <col min="9218" max="9218" width="8.28515625" style="44" customWidth="1"/>
    <col min="9219" max="9219" width="1.5703125" style="44" customWidth="1"/>
    <col min="9220" max="9220" width="0" style="44" hidden="1" customWidth="1"/>
    <col min="9221" max="9464" width="9.140625" style="44"/>
    <col min="9465" max="9465" width="15.85546875" style="44" customWidth="1"/>
    <col min="9466" max="9466" width="8" style="44" customWidth="1"/>
    <col min="9467" max="9467" width="7.85546875" style="44" customWidth="1"/>
    <col min="9468" max="9468" width="8" style="44" customWidth="1"/>
    <col min="9469" max="9473" width="8.140625" style="44" customWidth="1"/>
    <col min="9474" max="9474" width="8.28515625" style="44" customWidth="1"/>
    <col min="9475" max="9475" width="1.5703125" style="44" customWidth="1"/>
    <col min="9476" max="9476" width="0" style="44" hidden="1" customWidth="1"/>
    <col min="9477" max="9720" width="9.140625" style="44"/>
    <col min="9721" max="9721" width="15.85546875" style="44" customWidth="1"/>
    <col min="9722" max="9722" width="8" style="44" customWidth="1"/>
    <col min="9723" max="9723" width="7.85546875" style="44" customWidth="1"/>
    <col min="9724" max="9724" width="8" style="44" customWidth="1"/>
    <col min="9725" max="9729" width="8.140625" style="44" customWidth="1"/>
    <col min="9730" max="9730" width="8.28515625" style="44" customWidth="1"/>
    <col min="9731" max="9731" width="1.5703125" style="44" customWidth="1"/>
    <col min="9732" max="9732" width="0" style="44" hidden="1" customWidth="1"/>
    <col min="9733" max="9976" width="9.140625" style="44"/>
    <col min="9977" max="9977" width="15.85546875" style="44" customWidth="1"/>
    <col min="9978" max="9978" width="8" style="44" customWidth="1"/>
    <col min="9979" max="9979" width="7.85546875" style="44" customWidth="1"/>
    <col min="9980" max="9980" width="8" style="44" customWidth="1"/>
    <col min="9981" max="9985" width="8.140625" style="44" customWidth="1"/>
    <col min="9986" max="9986" width="8.28515625" style="44" customWidth="1"/>
    <col min="9987" max="9987" width="1.5703125" style="44" customWidth="1"/>
    <col min="9988" max="9988" width="0" style="44" hidden="1" customWidth="1"/>
    <col min="9989" max="10232" width="9.140625" style="44"/>
    <col min="10233" max="10233" width="15.85546875" style="44" customWidth="1"/>
    <col min="10234" max="10234" width="8" style="44" customWidth="1"/>
    <col min="10235" max="10235" width="7.85546875" style="44" customWidth="1"/>
    <col min="10236" max="10236" width="8" style="44" customWidth="1"/>
    <col min="10237" max="10241" width="8.140625" style="44" customWidth="1"/>
    <col min="10242" max="10242" width="8.28515625" style="44" customWidth="1"/>
    <col min="10243" max="10243" width="1.5703125" style="44" customWidth="1"/>
    <col min="10244" max="10244" width="0" style="44" hidden="1" customWidth="1"/>
    <col min="10245" max="10488" width="9.140625" style="44"/>
    <col min="10489" max="10489" width="15.85546875" style="44" customWidth="1"/>
    <col min="10490" max="10490" width="8" style="44" customWidth="1"/>
    <col min="10491" max="10491" width="7.85546875" style="44" customWidth="1"/>
    <col min="10492" max="10492" width="8" style="44" customWidth="1"/>
    <col min="10493" max="10497" width="8.140625" style="44" customWidth="1"/>
    <col min="10498" max="10498" width="8.28515625" style="44" customWidth="1"/>
    <col min="10499" max="10499" width="1.5703125" style="44" customWidth="1"/>
    <col min="10500" max="10500" width="0" style="44" hidden="1" customWidth="1"/>
    <col min="10501" max="10744" width="9.140625" style="44"/>
    <col min="10745" max="10745" width="15.85546875" style="44" customWidth="1"/>
    <col min="10746" max="10746" width="8" style="44" customWidth="1"/>
    <col min="10747" max="10747" width="7.85546875" style="44" customWidth="1"/>
    <col min="10748" max="10748" width="8" style="44" customWidth="1"/>
    <col min="10749" max="10753" width="8.140625" style="44" customWidth="1"/>
    <col min="10754" max="10754" width="8.28515625" style="44" customWidth="1"/>
    <col min="10755" max="10755" width="1.5703125" style="44" customWidth="1"/>
    <col min="10756" max="10756" width="0" style="44" hidden="1" customWidth="1"/>
    <col min="10757" max="11000" width="9.140625" style="44"/>
    <col min="11001" max="11001" width="15.85546875" style="44" customWidth="1"/>
    <col min="11002" max="11002" width="8" style="44" customWidth="1"/>
    <col min="11003" max="11003" width="7.85546875" style="44" customWidth="1"/>
    <col min="11004" max="11004" width="8" style="44" customWidth="1"/>
    <col min="11005" max="11009" width="8.140625" style="44" customWidth="1"/>
    <col min="11010" max="11010" width="8.28515625" style="44" customWidth="1"/>
    <col min="11011" max="11011" width="1.5703125" style="44" customWidth="1"/>
    <col min="11012" max="11012" width="0" style="44" hidden="1" customWidth="1"/>
    <col min="11013" max="11256" width="9.140625" style="44"/>
    <col min="11257" max="11257" width="15.85546875" style="44" customWidth="1"/>
    <col min="11258" max="11258" width="8" style="44" customWidth="1"/>
    <col min="11259" max="11259" width="7.85546875" style="44" customWidth="1"/>
    <col min="11260" max="11260" width="8" style="44" customWidth="1"/>
    <col min="11261" max="11265" width="8.140625" style="44" customWidth="1"/>
    <col min="11266" max="11266" width="8.28515625" style="44" customWidth="1"/>
    <col min="11267" max="11267" width="1.5703125" style="44" customWidth="1"/>
    <col min="11268" max="11268" width="0" style="44" hidden="1" customWidth="1"/>
    <col min="11269" max="11512" width="9.140625" style="44"/>
    <col min="11513" max="11513" width="15.85546875" style="44" customWidth="1"/>
    <col min="11514" max="11514" width="8" style="44" customWidth="1"/>
    <col min="11515" max="11515" width="7.85546875" style="44" customWidth="1"/>
    <col min="11516" max="11516" width="8" style="44" customWidth="1"/>
    <col min="11517" max="11521" width="8.140625" style="44" customWidth="1"/>
    <col min="11522" max="11522" width="8.28515625" style="44" customWidth="1"/>
    <col min="11523" max="11523" width="1.5703125" style="44" customWidth="1"/>
    <col min="11524" max="11524" width="0" style="44" hidden="1" customWidth="1"/>
    <col min="11525" max="11768" width="9.140625" style="44"/>
    <col min="11769" max="11769" width="15.85546875" style="44" customWidth="1"/>
    <col min="11770" max="11770" width="8" style="44" customWidth="1"/>
    <col min="11771" max="11771" width="7.85546875" style="44" customWidth="1"/>
    <col min="11772" max="11772" width="8" style="44" customWidth="1"/>
    <col min="11773" max="11777" width="8.140625" style="44" customWidth="1"/>
    <col min="11778" max="11778" width="8.28515625" style="44" customWidth="1"/>
    <col min="11779" max="11779" width="1.5703125" style="44" customWidth="1"/>
    <col min="11780" max="11780" width="0" style="44" hidden="1" customWidth="1"/>
    <col min="11781" max="12024" width="9.140625" style="44"/>
    <col min="12025" max="12025" width="15.85546875" style="44" customWidth="1"/>
    <col min="12026" max="12026" width="8" style="44" customWidth="1"/>
    <col min="12027" max="12027" width="7.85546875" style="44" customWidth="1"/>
    <col min="12028" max="12028" width="8" style="44" customWidth="1"/>
    <col min="12029" max="12033" width="8.140625" style="44" customWidth="1"/>
    <col min="12034" max="12034" width="8.28515625" style="44" customWidth="1"/>
    <col min="12035" max="12035" width="1.5703125" style="44" customWidth="1"/>
    <col min="12036" max="12036" width="0" style="44" hidden="1" customWidth="1"/>
    <col min="12037" max="12280" width="9.140625" style="44"/>
    <col min="12281" max="12281" width="15.85546875" style="44" customWidth="1"/>
    <col min="12282" max="12282" width="8" style="44" customWidth="1"/>
    <col min="12283" max="12283" width="7.85546875" style="44" customWidth="1"/>
    <col min="12284" max="12284" width="8" style="44" customWidth="1"/>
    <col min="12285" max="12289" width="8.140625" style="44" customWidth="1"/>
    <col min="12290" max="12290" width="8.28515625" style="44" customWidth="1"/>
    <col min="12291" max="12291" width="1.5703125" style="44" customWidth="1"/>
    <col min="12292" max="12292" width="0" style="44" hidden="1" customWidth="1"/>
    <col min="12293" max="12536" width="9.140625" style="44"/>
    <col min="12537" max="12537" width="15.85546875" style="44" customWidth="1"/>
    <col min="12538" max="12538" width="8" style="44" customWidth="1"/>
    <col min="12539" max="12539" width="7.85546875" style="44" customWidth="1"/>
    <col min="12540" max="12540" width="8" style="44" customWidth="1"/>
    <col min="12541" max="12545" width="8.140625" style="44" customWidth="1"/>
    <col min="12546" max="12546" width="8.28515625" style="44" customWidth="1"/>
    <col min="12547" max="12547" width="1.5703125" style="44" customWidth="1"/>
    <col min="12548" max="12548" width="0" style="44" hidden="1" customWidth="1"/>
    <col min="12549" max="12792" width="9.140625" style="44"/>
    <col min="12793" max="12793" width="15.85546875" style="44" customWidth="1"/>
    <col min="12794" max="12794" width="8" style="44" customWidth="1"/>
    <col min="12795" max="12795" width="7.85546875" style="44" customWidth="1"/>
    <col min="12796" max="12796" width="8" style="44" customWidth="1"/>
    <col min="12797" max="12801" width="8.140625" style="44" customWidth="1"/>
    <col min="12802" max="12802" width="8.28515625" style="44" customWidth="1"/>
    <col min="12803" max="12803" width="1.5703125" style="44" customWidth="1"/>
    <col min="12804" max="12804" width="0" style="44" hidden="1" customWidth="1"/>
    <col min="12805" max="13048" width="9.140625" style="44"/>
    <col min="13049" max="13049" width="15.85546875" style="44" customWidth="1"/>
    <col min="13050" max="13050" width="8" style="44" customWidth="1"/>
    <col min="13051" max="13051" width="7.85546875" style="44" customWidth="1"/>
    <col min="13052" max="13052" width="8" style="44" customWidth="1"/>
    <col min="13053" max="13057" width="8.140625" style="44" customWidth="1"/>
    <col min="13058" max="13058" width="8.28515625" style="44" customWidth="1"/>
    <col min="13059" max="13059" width="1.5703125" style="44" customWidth="1"/>
    <col min="13060" max="13060" width="0" style="44" hidden="1" customWidth="1"/>
    <col min="13061" max="13304" width="9.140625" style="44"/>
    <col min="13305" max="13305" width="15.85546875" style="44" customWidth="1"/>
    <col min="13306" max="13306" width="8" style="44" customWidth="1"/>
    <col min="13307" max="13307" width="7.85546875" style="44" customWidth="1"/>
    <col min="13308" max="13308" width="8" style="44" customWidth="1"/>
    <col min="13309" max="13313" width="8.140625" style="44" customWidth="1"/>
    <col min="13314" max="13314" width="8.28515625" style="44" customWidth="1"/>
    <col min="13315" max="13315" width="1.5703125" style="44" customWidth="1"/>
    <col min="13316" max="13316" width="0" style="44" hidden="1" customWidth="1"/>
    <col min="13317" max="13560" width="9.140625" style="44"/>
    <col min="13561" max="13561" width="15.85546875" style="44" customWidth="1"/>
    <col min="13562" max="13562" width="8" style="44" customWidth="1"/>
    <col min="13563" max="13563" width="7.85546875" style="44" customWidth="1"/>
    <col min="13564" max="13564" width="8" style="44" customWidth="1"/>
    <col min="13565" max="13569" width="8.140625" style="44" customWidth="1"/>
    <col min="13570" max="13570" width="8.28515625" style="44" customWidth="1"/>
    <col min="13571" max="13571" width="1.5703125" style="44" customWidth="1"/>
    <col min="13572" max="13572" width="0" style="44" hidden="1" customWidth="1"/>
    <col min="13573" max="13816" width="9.140625" style="44"/>
    <col min="13817" max="13817" width="15.85546875" style="44" customWidth="1"/>
    <col min="13818" max="13818" width="8" style="44" customWidth="1"/>
    <col min="13819" max="13819" width="7.85546875" style="44" customWidth="1"/>
    <col min="13820" max="13820" width="8" style="44" customWidth="1"/>
    <col min="13821" max="13825" width="8.140625" style="44" customWidth="1"/>
    <col min="13826" max="13826" width="8.28515625" style="44" customWidth="1"/>
    <col min="13827" max="13827" width="1.5703125" style="44" customWidth="1"/>
    <col min="13828" max="13828" width="0" style="44" hidden="1" customWidth="1"/>
    <col min="13829" max="14072" width="9.140625" style="44"/>
    <col min="14073" max="14073" width="15.85546875" style="44" customWidth="1"/>
    <col min="14074" max="14074" width="8" style="44" customWidth="1"/>
    <col min="14075" max="14075" width="7.85546875" style="44" customWidth="1"/>
    <col min="14076" max="14076" width="8" style="44" customWidth="1"/>
    <col min="14077" max="14081" width="8.140625" style="44" customWidth="1"/>
    <col min="14082" max="14082" width="8.28515625" style="44" customWidth="1"/>
    <col min="14083" max="14083" width="1.5703125" style="44" customWidth="1"/>
    <col min="14084" max="14084" width="0" style="44" hidden="1" customWidth="1"/>
    <col min="14085" max="14328" width="9.140625" style="44"/>
    <col min="14329" max="14329" width="15.85546875" style="44" customWidth="1"/>
    <col min="14330" max="14330" width="8" style="44" customWidth="1"/>
    <col min="14331" max="14331" width="7.85546875" style="44" customWidth="1"/>
    <col min="14332" max="14332" width="8" style="44" customWidth="1"/>
    <col min="14333" max="14337" width="8.140625" style="44" customWidth="1"/>
    <col min="14338" max="14338" width="8.28515625" style="44" customWidth="1"/>
    <col min="14339" max="14339" width="1.5703125" style="44" customWidth="1"/>
    <col min="14340" max="14340" width="0" style="44" hidden="1" customWidth="1"/>
    <col min="14341" max="14584" width="9.140625" style="44"/>
    <col min="14585" max="14585" width="15.85546875" style="44" customWidth="1"/>
    <col min="14586" max="14586" width="8" style="44" customWidth="1"/>
    <col min="14587" max="14587" width="7.85546875" style="44" customWidth="1"/>
    <col min="14588" max="14588" width="8" style="44" customWidth="1"/>
    <col min="14589" max="14593" width="8.140625" style="44" customWidth="1"/>
    <col min="14594" max="14594" width="8.28515625" style="44" customWidth="1"/>
    <col min="14595" max="14595" width="1.5703125" style="44" customWidth="1"/>
    <col min="14596" max="14596" width="0" style="44" hidden="1" customWidth="1"/>
    <col min="14597" max="14840" width="9.140625" style="44"/>
    <col min="14841" max="14841" width="15.85546875" style="44" customWidth="1"/>
    <col min="14842" max="14842" width="8" style="44" customWidth="1"/>
    <col min="14843" max="14843" width="7.85546875" style="44" customWidth="1"/>
    <col min="14844" max="14844" width="8" style="44" customWidth="1"/>
    <col min="14845" max="14849" width="8.140625" style="44" customWidth="1"/>
    <col min="14850" max="14850" width="8.28515625" style="44" customWidth="1"/>
    <col min="14851" max="14851" width="1.5703125" style="44" customWidth="1"/>
    <col min="14852" max="14852" width="0" style="44" hidden="1" customWidth="1"/>
    <col min="14853" max="15096" width="9.140625" style="44"/>
    <col min="15097" max="15097" width="15.85546875" style="44" customWidth="1"/>
    <col min="15098" max="15098" width="8" style="44" customWidth="1"/>
    <col min="15099" max="15099" width="7.85546875" style="44" customWidth="1"/>
    <col min="15100" max="15100" width="8" style="44" customWidth="1"/>
    <col min="15101" max="15105" width="8.140625" style="44" customWidth="1"/>
    <col min="15106" max="15106" width="8.28515625" style="44" customWidth="1"/>
    <col min="15107" max="15107" width="1.5703125" style="44" customWidth="1"/>
    <col min="15108" max="15108" width="0" style="44" hidden="1" customWidth="1"/>
    <col min="15109" max="15352" width="9.140625" style="44"/>
    <col min="15353" max="15353" width="15.85546875" style="44" customWidth="1"/>
    <col min="15354" max="15354" width="8" style="44" customWidth="1"/>
    <col min="15355" max="15355" width="7.85546875" style="44" customWidth="1"/>
    <col min="15356" max="15356" width="8" style="44" customWidth="1"/>
    <col min="15357" max="15361" width="8.140625" style="44" customWidth="1"/>
    <col min="15362" max="15362" width="8.28515625" style="44" customWidth="1"/>
    <col min="15363" max="15363" width="1.5703125" style="44" customWidth="1"/>
    <col min="15364" max="15364" width="0" style="44" hidden="1" customWidth="1"/>
    <col min="15365" max="15608" width="9.140625" style="44"/>
    <col min="15609" max="15609" width="15.85546875" style="44" customWidth="1"/>
    <col min="15610" max="15610" width="8" style="44" customWidth="1"/>
    <col min="15611" max="15611" width="7.85546875" style="44" customWidth="1"/>
    <col min="15612" max="15612" width="8" style="44" customWidth="1"/>
    <col min="15613" max="15617" width="8.140625" style="44" customWidth="1"/>
    <col min="15618" max="15618" width="8.28515625" style="44" customWidth="1"/>
    <col min="15619" max="15619" width="1.5703125" style="44" customWidth="1"/>
    <col min="15620" max="15620" width="0" style="44" hidden="1" customWidth="1"/>
    <col min="15621" max="15864" width="9.140625" style="44"/>
    <col min="15865" max="15865" width="15.85546875" style="44" customWidth="1"/>
    <col min="15866" max="15866" width="8" style="44" customWidth="1"/>
    <col min="15867" max="15867" width="7.85546875" style="44" customWidth="1"/>
    <col min="15868" max="15868" width="8" style="44" customWidth="1"/>
    <col min="15869" max="15873" width="8.140625" style="44" customWidth="1"/>
    <col min="15874" max="15874" width="8.28515625" style="44" customWidth="1"/>
    <col min="15875" max="15875" width="1.5703125" style="44" customWidth="1"/>
    <col min="15876" max="15876" width="0" style="44" hidden="1" customWidth="1"/>
    <col min="15877" max="16120" width="9.140625" style="44"/>
    <col min="16121" max="16121" width="15.85546875" style="44" customWidth="1"/>
    <col min="16122" max="16122" width="8" style="44" customWidth="1"/>
    <col min="16123" max="16123" width="7.85546875" style="44" customWidth="1"/>
    <col min="16124" max="16124" width="8" style="44" customWidth="1"/>
    <col min="16125" max="16129" width="8.140625" style="44" customWidth="1"/>
    <col min="16130" max="16130" width="8.28515625" style="44" customWidth="1"/>
    <col min="16131" max="16131" width="1.5703125" style="44" customWidth="1"/>
    <col min="16132" max="16132" width="0" style="44" hidden="1" customWidth="1"/>
    <col min="16133" max="16384" width="9.140625" style="44"/>
  </cols>
  <sheetData>
    <row r="3" spans="2:20" x14ac:dyDescent="0.2">
      <c r="P3" s="65" t="s">
        <v>323</v>
      </c>
    </row>
    <row r="5" spans="2:20" x14ac:dyDescent="0.2">
      <c r="C5" s="404" t="s">
        <v>330</v>
      </c>
      <c r="D5" s="404"/>
      <c r="E5" s="404"/>
      <c r="F5" s="404"/>
      <c r="G5" s="404"/>
      <c r="H5" s="404"/>
      <c r="I5" s="404"/>
      <c r="J5" s="404"/>
      <c r="K5" s="404"/>
      <c r="L5" s="404"/>
      <c r="M5" s="404"/>
      <c r="N5" s="404"/>
      <c r="O5" s="404"/>
      <c r="P5" s="404"/>
      <c r="Q5" s="404"/>
      <c r="R5" s="404"/>
    </row>
    <row r="6" spans="2:20" x14ac:dyDescent="0.2">
      <c r="J6" s="98"/>
      <c r="K6" s="98"/>
      <c r="L6" s="98"/>
      <c r="M6" s="98"/>
      <c r="N6" s="98"/>
      <c r="O6" s="98"/>
      <c r="P6" s="98"/>
      <c r="Q6" s="98"/>
      <c r="R6" s="98"/>
    </row>
    <row r="7" spans="2:20" x14ac:dyDescent="0.2">
      <c r="B7" s="58">
        <v>1.1499999999999999</v>
      </c>
      <c r="G7" s="121"/>
      <c r="J7" s="98"/>
      <c r="K7" s="98"/>
      <c r="L7" s="98"/>
      <c r="M7" s="98"/>
      <c r="N7" s="98"/>
      <c r="O7" s="98"/>
      <c r="P7" s="98"/>
      <c r="Q7" s="98"/>
      <c r="R7" s="98"/>
    </row>
    <row r="8" spans="2:20" x14ac:dyDescent="0.2">
      <c r="B8" s="424"/>
      <c r="C8" s="385">
        <v>2015</v>
      </c>
      <c r="D8" s="385"/>
      <c r="E8" s="385">
        <v>2016</v>
      </c>
      <c r="F8" s="385"/>
      <c r="G8" s="385">
        <v>2017</v>
      </c>
      <c r="H8" s="385"/>
      <c r="I8" s="385">
        <v>2018</v>
      </c>
      <c r="J8" s="385"/>
      <c r="K8" s="385">
        <v>2019</v>
      </c>
      <c r="L8" s="385"/>
      <c r="M8" s="385">
        <v>2020</v>
      </c>
      <c r="N8" s="385"/>
      <c r="O8" s="385">
        <v>2021</v>
      </c>
      <c r="P8" s="385"/>
      <c r="Q8" s="385">
        <v>2022</v>
      </c>
      <c r="R8" s="385"/>
    </row>
    <row r="9" spans="2:20" s="113" customFormat="1" ht="15" x14ac:dyDescent="0.25">
      <c r="B9" s="425"/>
      <c r="C9" s="123" t="s">
        <v>66</v>
      </c>
      <c r="D9" s="123" t="s">
        <v>67</v>
      </c>
      <c r="E9" s="123" t="s">
        <v>66</v>
      </c>
      <c r="F9" s="123" t="s">
        <v>67</v>
      </c>
      <c r="G9" s="123" t="s">
        <v>66</v>
      </c>
      <c r="H9" s="123" t="s">
        <v>67</v>
      </c>
      <c r="I9" s="123" t="s">
        <v>66</v>
      </c>
      <c r="J9" s="123" t="s">
        <v>67</v>
      </c>
      <c r="K9" s="123" t="s">
        <v>66</v>
      </c>
      <c r="L9" s="123" t="s">
        <v>67</v>
      </c>
      <c r="M9" s="123" t="s">
        <v>66</v>
      </c>
      <c r="N9" s="123" t="s">
        <v>67</v>
      </c>
      <c r="O9" s="123" t="s">
        <v>66</v>
      </c>
      <c r="P9" s="123" t="s">
        <v>67</v>
      </c>
      <c r="Q9" s="123" t="s">
        <v>66</v>
      </c>
      <c r="R9" s="123" t="s">
        <v>67</v>
      </c>
      <c r="S9" s="85"/>
      <c r="T9" s="85"/>
    </row>
    <row r="10" spans="2:20" ht="15" x14ac:dyDescent="0.25">
      <c r="B10" s="291"/>
      <c r="S10" s="42"/>
      <c r="T10" s="42"/>
    </row>
    <row r="11" spans="2:20" ht="15" x14ac:dyDescent="0.25">
      <c r="B11" s="73" t="s">
        <v>103</v>
      </c>
      <c r="C11" s="337">
        <f>SUM(C13+C21)</f>
        <v>26780.000000000018</v>
      </c>
      <c r="D11" s="296">
        <v>100</v>
      </c>
      <c r="E11" s="337">
        <f>SUM(E13+E21)</f>
        <v>25561</v>
      </c>
      <c r="F11" s="296">
        <v>100</v>
      </c>
      <c r="G11" s="337">
        <f>SUM(G13+G21)</f>
        <v>25197</v>
      </c>
      <c r="H11" s="296">
        <v>100</v>
      </c>
      <c r="I11" s="337">
        <v>27922</v>
      </c>
      <c r="J11" s="296">
        <v>100</v>
      </c>
      <c r="K11" s="337">
        <f t="shared" ref="K11:P11" si="0">K13+K21</f>
        <v>28834</v>
      </c>
      <c r="L11" s="296">
        <f t="shared" si="0"/>
        <v>100</v>
      </c>
      <c r="M11" s="337">
        <f t="shared" si="0"/>
        <v>27084.33429169087</v>
      </c>
      <c r="N11" s="296">
        <f t="shared" si="0"/>
        <v>100</v>
      </c>
      <c r="O11" s="337">
        <f t="shared" si="0"/>
        <v>29699.000000003329</v>
      </c>
      <c r="P11" s="296">
        <f t="shared" si="0"/>
        <v>100</v>
      </c>
      <c r="Q11" s="337">
        <f t="shared" ref="Q11:R11" si="1">Q13+Q21</f>
        <v>34133.068676534327</v>
      </c>
      <c r="R11" s="296">
        <f t="shared" si="1"/>
        <v>100</v>
      </c>
      <c r="S11" s="42"/>
      <c r="T11" s="42"/>
    </row>
    <row r="12" spans="2:20" ht="15" x14ac:dyDescent="0.25">
      <c r="B12" s="291"/>
      <c r="C12" s="83"/>
      <c r="D12" s="303"/>
      <c r="E12" s="83"/>
      <c r="F12" s="303"/>
      <c r="G12" s="83"/>
      <c r="H12" s="303"/>
      <c r="I12" s="83"/>
      <c r="J12" s="303"/>
      <c r="K12" s="83"/>
      <c r="L12" s="303"/>
      <c r="M12" s="83"/>
      <c r="N12" s="303"/>
      <c r="O12" s="83"/>
      <c r="P12" s="303"/>
      <c r="Q12" s="83"/>
      <c r="R12" s="303"/>
      <c r="S12" s="42"/>
      <c r="T12" s="42"/>
    </row>
    <row r="13" spans="2:20" ht="15" x14ac:dyDescent="0.25">
      <c r="B13" s="73" t="s">
        <v>104</v>
      </c>
      <c r="C13" s="337">
        <f>SUM(C15:C19)</f>
        <v>25634.000000000022</v>
      </c>
      <c r="D13" s="296">
        <f>(C13/C11)*100</f>
        <v>95.720687079910391</v>
      </c>
      <c r="E13" s="337">
        <f>SUM(E15:E19)</f>
        <v>24415</v>
      </c>
      <c r="F13" s="296">
        <f>(E13/E11)*100</f>
        <v>95.516607331481552</v>
      </c>
      <c r="G13" s="337">
        <f>SUM(G15:G19)</f>
        <v>24131</v>
      </c>
      <c r="H13" s="296">
        <f>(G13/G11)*100</f>
        <v>95.769337619557888</v>
      </c>
      <c r="I13" s="337">
        <v>27050</v>
      </c>
      <c r="J13" s="296">
        <v>96.9</v>
      </c>
      <c r="K13" s="337">
        <f>SUM(K15:K19)</f>
        <v>27667</v>
      </c>
      <c r="L13" s="296">
        <f>K13/K11*100</f>
        <v>95.95269473538184</v>
      </c>
      <c r="M13" s="337">
        <f>SUM(M15:M19)</f>
        <v>26196.671385988771</v>
      </c>
      <c r="N13" s="296">
        <f>M13/M11*100</f>
        <v>96.722596552892114</v>
      </c>
      <c r="O13" s="337">
        <f>SUM(O15:O19)</f>
        <v>28639.000000003318</v>
      </c>
      <c r="P13" s="296">
        <f>O13/O11*100</f>
        <v>96.430856257786829</v>
      </c>
      <c r="Q13" s="337">
        <f>SUM(Q15:Q19)</f>
        <v>32820.408858755181</v>
      </c>
      <c r="R13" s="296">
        <f>Q13/Q11*100</f>
        <v>96.154287121914805</v>
      </c>
      <c r="S13" s="42"/>
      <c r="T13" s="42"/>
    </row>
    <row r="14" spans="2:20" ht="15" x14ac:dyDescent="0.25">
      <c r="B14" s="291"/>
      <c r="C14" s="83"/>
      <c r="D14" s="296"/>
      <c r="E14" s="83"/>
      <c r="F14" s="296"/>
      <c r="G14" s="83"/>
      <c r="H14" s="296"/>
      <c r="I14" s="83"/>
      <c r="J14" s="296"/>
      <c r="K14" s="83"/>
      <c r="L14" s="296"/>
      <c r="M14" s="83"/>
      <c r="N14" s="296"/>
      <c r="O14" s="83"/>
      <c r="P14" s="296"/>
      <c r="Q14" s="83"/>
      <c r="R14" s="296"/>
      <c r="S14" s="42"/>
      <c r="T14" s="42"/>
    </row>
    <row r="15" spans="2:20" ht="15" x14ac:dyDescent="0.25">
      <c r="B15" s="291" t="s">
        <v>6</v>
      </c>
      <c r="C15" s="235">
        <v>14494.000000000016</v>
      </c>
      <c r="D15" s="309">
        <f>(C15/$C$11)*100</f>
        <v>54.122479462285312</v>
      </c>
      <c r="E15" s="235">
        <v>13591</v>
      </c>
      <c r="F15" s="309">
        <f>(E15/$E$11)*100</f>
        <v>53.170846211024603</v>
      </c>
      <c r="G15" s="235">
        <v>13497</v>
      </c>
      <c r="H15" s="309">
        <f>(G15/$G$11)*100</f>
        <v>53.565900702464575</v>
      </c>
      <c r="I15" s="235">
        <v>14533</v>
      </c>
      <c r="J15" s="309">
        <v>52</v>
      </c>
      <c r="K15" s="235">
        <v>16136</v>
      </c>
      <c r="L15" s="309">
        <f>K15/$K$11*100</f>
        <v>55.961711867933694</v>
      </c>
      <c r="M15" s="235">
        <v>15359.413326847736</v>
      </c>
      <c r="N15" s="309">
        <v>56.709584077019919</v>
      </c>
      <c r="O15" s="235">
        <v>15331.000000002556</v>
      </c>
      <c r="P15" s="309">
        <v>56.709584077019919</v>
      </c>
      <c r="Q15" s="235">
        <v>18002.51363885809</v>
      </c>
      <c r="R15" s="309">
        <v>52.7</v>
      </c>
      <c r="S15" s="42"/>
      <c r="T15" s="42"/>
    </row>
    <row r="16" spans="2:20" ht="15" x14ac:dyDescent="0.25">
      <c r="B16" s="291" t="s">
        <v>7</v>
      </c>
      <c r="C16" s="235">
        <v>5348.0000000000146</v>
      </c>
      <c r="D16" s="309">
        <f t="shared" ref="D16:D19" si="2">(C16/$C$11)*100</f>
        <v>19.970126960418263</v>
      </c>
      <c r="E16" s="235">
        <v>4986</v>
      </c>
      <c r="F16" s="309">
        <f t="shared" ref="F16:F19" si="3">(E16/$E$11)*100</f>
        <v>19.506279097061928</v>
      </c>
      <c r="G16" s="235">
        <v>4913</v>
      </c>
      <c r="H16" s="309">
        <f t="shared" ref="H16:H19" si="4">(G16/$G$11)*100</f>
        <v>19.498352978529191</v>
      </c>
      <c r="I16" s="235">
        <v>6011</v>
      </c>
      <c r="J16" s="309">
        <v>21.5</v>
      </c>
      <c r="K16" s="235">
        <v>5531</v>
      </c>
      <c r="L16" s="309">
        <f t="shared" ref="L16:L19" si="5">K16/$K$11*100</f>
        <v>19.182215440105431</v>
      </c>
      <c r="M16" s="235">
        <v>5052.4001164084193</v>
      </c>
      <c r="N16" s="309">
        <v>18.654326379210204</v>
      </c>
      <c r="O16" s="235">
        <v>6408.0000000006967</v>
      </c>
      <c r="P16" s="309">
        <v>18.654326379210204</v>
      </c>
      <c r="Q16" s="235">
        <v>7011.745587828691</v>
      </c>
      <c r="R16" s="309">
        <v>20.5</v>
      </c>
      <c r="S16" s="42"/>
      <c r="T16" s="42"/>
    </row>
    <row r="17" spans="2:20" ht="15" x14ac:dyDescent="0.25">
      <c r="B17" s="291" t="s">
        <v>8</v>
      </c>
      <c r="C17" s="235">
        <v>4551.9999999999927</v>
      </c>
      <c r="D17" s="309">
        <f t="shared" si="2"/>
        <v>16.997759522031327</v>
      </c>
      <c r="E17" s="235">
        <v>4485</v>
      </c>
      <c r="F17" s="309">
        <f t="shared" si="3"/>
        <v>17.546261883337895</v>
      </c>
      <c r="G17" s="235">
        <v>4466</v>
      </c>
      <c r="H17" s="309">
        <f t="shared" si="4"/>
        <v>17.724332261777196</v>
      </c>
      <c r="I17" s="235">
        <v>4865</v>
      </c>
      <c r="J17" s="309">
        <v>17.399999999999999</v>
      </c>
      <c r="K17" s="235">
        <v>4945</v>
      </c>
      <c r="L17" s="309">
        <f t="shared" si="5"/>
        <v>17.149892488034961</v>
      </c>
      <c r="M17" s="235">
        <v>4865.8296469632141</v>
      </c>
      <c r="N17" s="309">
        <v>17.965476258561527</v>
      </c>
      <c r="O17" s="235">
        <v>5478.0000000000782</v>
      </c>
      <c r="P17" s="309">
        <v>17.965476258561527</v>
      </c>
      <c r="Q17" s="235">
        <v>6166.2380385530259</v>
      </c>
      <c r="R17" s="309">
        <v>17.965476258561527</v>
      </c>
      <c r="S17" s="42"/>
      <c r="T17" s="42"/>
    </row>
    <row r="18" spans="2:20" ht="15" x14ac:dyDescent="0.25">
      <c r="B18" s="291" t="s">
        <v>10</v>
      </c>
      <c r="C18" s="235">
        <v>647.00000000000114</v>
      </c>
      <c r="D18" s="309">
        <f t="shared" si="2"/>
        <v>2.4159820761762538</v>
      </c>
      <c r="E18" s="235">
        <v>708</v>
      </c>
      <c r="F18" s="309">
        <f t="shared" si="3"/>
        <v>2.7698446852627052</v>
      </c>
      <c r="G18" s="235">
        <v>644</v>
      </c>
      <c r="H18" s="309">
        <f t="shared" si="4"/>
        <v>2.5558598245822917</v>
      </c>
      <c r="I18" s="235">
        <v>942</v>
      </c>
      <c r="J18" s="309">
        <v>3.4</v>
      </c>
      <c r="K18" s="235">
        <v>545</v>
      </c>
      <c r="L18" s="309">
        <f t="shared" si="5"/>
        <v>1.8901297079836306</v>
      </c>
      <c r="M18" s="235">
        <v>490.57881768420009</v>
      </c>
      <c r="N18" s="309">
        <v>1.8113009993186289</v>
      </c>
      <c r="O18" s="235">
        <v>725.99999999999341</v>
      </c>
      <c r="P18" s="309">
        <v>1.8113009993186289</v>
      </c>
      <c r="Q18" s="235">
        <v>774.40132811116769</v>
      </c>
      <c r="R18" s="309">
        <v>2.2999999999999998</v>
      </c>
      <c r="S18" s="42"/>
      <c r="T18" s="42"/>
    </row>
    <row r="19" spans="2:20" ht="15" x14ac:dyDescent="0.25">
      <c r="B19" s="291" t="s">
        <v>9</v>
      </c>
      <c r="C19" s="235">
        <v>592.9999999999992</v>
      </c>
      <c r="D19" s="309">
        <f t="shared" si="2"/>
        <v>2.2143390589992489</v>
      </c>
      <c r="E19" s="235">
        <v>645</v>
      </c>
      <c r="F19" s="309">
        <f t="shared" si="3"/>
        <v>2.5233754547944134</v>
      </c>
      <c r="G19" s="235">
        <v>611</v>
      </c>
      <c r="H19" s="309">
        <f t="shared" si="4"/>
        <v>2.4248918522046274</v>
      </c>
      <c r="I19" s="235">
        <v>699</v>
      </c>
      <c r="J19" s="309">
        <v>2.5</v>
      </c>
      <c r="K19" s="235">
        <v>510</v>
      </c>
      <c r="L19" s="309">
        <f t="shared" si="5"/>
        <v>1.768745231324131</v>
      </c>
      <c r="M19" s="235">
        <v>428.44947808519987</v>
      </c>
      <c r="N19" s="309">
        <v>1.5819088387807934</v>
      </c>
      <c r="O19" s="235">
        <v>695.99999999999397</v>
      </c>
      <c r="P19" s="309">
        <v>1.5819088387807934</v>
      </c>
      <c r="Q19" s="235">
        <v>865.51026540420844</v>
      </c>
      <c r="R19" s="309">
        <v>2.5</v>
      </c>
      <c r="S19" s="42"/>
      <c r="T19" s="42"/>
    </row>
    <row r="20" spans="2:20" ht="15" x14ac:dyDescent="0.25">
      <c r="B20" s="291"/>
      <c r="C20" s="83"/>
      <c r="D20" s="296"/>
      <c r="E20" s="83"/>
      <c r="F20" s="296"/>
      <c r="G20" s="83"/>
      <c r="H20" s="296"/>
      <c r="I20" s="83"/>
      <c r="J20" s="296"/>
      <c r="K20" s="83"/>
      <c r="L20" s="296"/>
      <c r="M20" s="83"/>
      <c r="N20" s="296"/>
      <c r="O20" s="83"/>
      <c r="P20" s="296"/>
      <c r="Q20" s="83"/>
      <c r="R20" s="296"/>
      <c r="S20" s="42"/>
      <c r="T20" s="42"/>
    </row>
    <row r="21" spans="2:20" ht="15" x14ac:dyDescent="0.25">
      <c r="B21" s="73" t="s">
        <v>105</v>
      </c>
      <c r="C21" s="337">
        <f>SUM(C23:C24)</f>
        <v>1145.9999999999977</v>
      </c>
      <c r="D21" s="296">
        <f>(C21/$C$11)*100</f>
        <v>4.2793129200896081</v>
      </c>
      <c r="E21" s="337">
        <f>SUM(E23:E24)</f>
        <v>1145.9999999999995</v>
      </c>
      <c r="F21" s="296">
        <f>(E21/$E$11)*100</f>
        <v>4.4833926685184444</v>
      </c>
      <c r="G21" s="337">
        <f>SUM(G23:G24)</f>
        <v>1066</v>
      </c>
      <c r="H21" s="296">
        <f>(G21/$E$11)*100</f>
        <v>4.1704158679237899</v>
      </c>
      <c r="I21" s="337">
        <v>872</v>
      </c>
      <c r="J21" s="296">
        <v>3.1</v>
      </c>
      <c r="K21" s="337">
        <f>SUM(K23:K24)</f>
        <v>1167</v>
      </c>
      <c r="L21" s="296">
        <f>K21/K11*100</f>
        <v>4.0473052646181591</v>
      </c>
      <c r="M21" s="337">
        <f>SUM(M23:M24)</f>
        <v>887.66290570209958</v>
      </c>
      <c r="N21" s="296">
        <f>M21/M11*100</f>
        <v>3.277403447107885</v>
      </c>
      <c r="O21" s="337">
        <f>SUM(O23:O24)</f>
        <v>1060.0000000000093</v>
      </c>
      <c r="P21" s="296">
        <f>O21/O11*100</f>
        <v>3.569143742213174</v>
      </c>
      <c r="Q21" s="337">
        <f>SUM(Q23:Q24)</f>
        <v>1312.6598177791457</v>
      </c>
      <c r="R21" s="296">
        <f>Q21/Q11*100</f>
        <v>3.8457128780851986</v>
      </c>
      <c r="S21" s="42"/>
      <c r="T21" s="42"/>
    </row>
    <row r="22" spans="2:20" ht="15" x14ac:dyDescent="0.25">
      <c r="B22" s="291"/>
      <c r="C22" s="83"/>
      <c r="D22" s="296"/>
      <c r="E22" s="83"/>
      <c r="F22" s="296"/>
      <c r="G22" s="83"/>
      <c r="H22" s="296"/>
      <c r="I22" s="83"/>
      <c r="J22" s="296"/>
      <c r="K22" s="83"/>
      <c r="L22" s="296"/>
      <c r="M22" s="83"/>
      <c r="N22" s="296"/>
      <c r="O22" s="83"/>
      <c r="P22" s="296"/>
      <c r="Q22" s="83"/>
      <c r="R22" s="296"/>
      <c r="S22" s="42"/>
      <c r="T22" s="42"/>
    </row>
    <row r="23" spans="2:20" ht="15" x14ac:dyDescent="0.25">
      <c r="B23" s="291" t="s">
        <v>49</v>
      </c>
      <c r="C23" s="235">
        <v>997.44444444444241</v>
      </c>
      <c r="D23" s="313">
        <f>(C23/$C$11)*100</f>
        <v>3.7245871711891025</v>
      </c>
      <c r="E23" s="235">
        <v>945.44999999999948</v>
      </c>
      <c r="F23" s="313">
        <f>(E23/$E$11)*100</f>
        <v>3.6987989515277162</v>
      </c>
      <c r="G23" s="235">
        <v>892</v>
      </c>
      <c r="H23" s="313">
        <f>(G23/$G$11)*100</f>
        <v>3.5401039806326149</v>
      </c>
      <c r="I23" s="235">
        <v>775</v>
      </c>
      <c r="J23" s="313">
        <v>2.8</v>
      </c>
      <c r="K23" s="235">
        <v>1072</v>
      </c>
      <c r="L23" s="313">
        <f t="shared" ref="L23:L24" si="6">K23/$K$11*100</f>
        <v>3.7178331136852329</v>
      </c>
      <c r="M23" s="235">
        <v>839.68112701549956</v>
      </c>
      <c r="N23" s="313">
        <v>3.100246504020939</v>
      </c>
      <c r="O23" s="235">
        <v>930.00000000000932</v>
      </c>
      <c r="P23" s="313">
        <v>3.100246504020939</v>
      </c>
      <c r="Q23" s="235">
        <v>853.69665548636158</v>
      </c>
      <c r="R23" s="313">
        <v>2.5</v>
      </c>
      <c r="S23" s="42"/>
      <c r="T23" s="42"/>
    </row>
    <row r="24" spans="2:20" ht="15" x14ac:dyDescent="0.25">
      <c r="B24" s="322" t="s">
        <v>50</v>
      </c>
      <c r="C24" s="323">
        <v>148.5555555555554</v>
      </c>
      <c r="D24" s="325">
        <f>(C24/$C$11)*100</f>
        <v>0.5547257489005053</v>
      </c>
      <c r="E24" s="323">
        <v>200.55</v>
      </c>
      <c r="F24" s="325">
        <f>(E24/$E$11)*100</f>
        <v>0.78459371699072822</v>
      </c>
      <c r="G24" s="323">
        <v>174</v>
      </c>
      <c r="H24" s="325">
        <f>(G24/$G$11)*100</f>
        <v>0.69055839980950107</v>
      </c>
      <c r="I24" s="323">
        <v>97</v>
      </c>
      <c r="J24" s="325">
        <v>0.3</v>
      </c>
      <c r="K24" s="323">
        <v>95</v>
      </c>
      <c r="L24" s="325">
        <f t="shared" si="6"/>
        <v>0.32947215093292642</v>
      </c>
      <c r="M24" s="323">
        <v>47.981778686600002</v>
      </c>
      <c r="N24" s="325">
        <v>0.17715694308691091</v>
      </c>
      <c r="O24" s="323">
        <v>130.00000000000006</v>
      </c>
      <c r="P24" s="325">
        <v>0.17715694308691091</v>
      </c>
      <c r="Q24" s="323">
        <v>458.9631622927842</v>
      </c>
      <c r="R24" s="325">
        <v>1.3</v>
      </c>
      <c r="S24" s="42"/>
      <c r="T24" s="42"/>
    </row>
    <row r="25" spans="2:20" ht="15" x14ac:dyDescent="0.25">
      <c r="J25" s="98"/>
      <c r="K25" s="42"/>
      <c r="L25" s="99"/>
      <c r="M25" s="99"/>
      <c r="N25" s="99"/>
      <c r="O25" s="99"/>
      <c r="P25" s="99"/>
      <c r="Q25" s="99"/>
      <c r="R25" s="99"/>
      <c r="S25" s="42"/>
      <c r="T25" s="42"/>
    </row>
    <row r="26" spans="2:20" ht="15" x14ac:dyDescent="0.25">
      <c r="I26" s="102"/>
      <c r="J26" s="102"/>
      <c r="K26" s="103"/>
      <c r="L26" s="103"/>
      <c r="M26" s="99"/>
      <c r="N26" s="99"/>
      <c r="O26" s="99"/>
      <c r="P26" s="99"/>
      <c r="Q26" s="99"/>
      <c r="R26" s="99"/>
      <c r="S26" s="42"/>
      <c r="T26" s="42"/>
    </row>
    <row r="27" spans="2:20" ht="15" x14ac:dyDescent="0.25">
      <c r="I27" s="102"/>
      <c r="J27" s="102"/>
      <c r="K27" s="103"/>
      <c r="L27" s="104"/>
      <c r="M27" s="94"/>
      <c r="N27" s="94"/>
      <c r="O27" s="94"/>
      <c r="P27" s="42"/>
      <c r="Q27" s="42"/>
      <c r="R27" s="42"/>
      <c r="S27" s="42"/>
      <c r="T27" s="42"/>
    </row>
    <row r="28" spans="2:20" ht="15" x14ac:dyDescent="0.25">
      <c r="C28" s="327"/>
      <c r="I28" s="102"/>
      <c r="J28" s="334"/>
      <c r="K28" s="94"/>
      <c r="L28" s="104"/>
      <c r="M28" s="94"/>
      <c r="N28" s="94"/>
      <c r="O28" s="94"/>
      <c r="P28" s="42"/>
      <c r="Q28" s="42"/>
      <c r="R28" s="42"/>
      <c r="S28" s="42"/>
      <c r="T28" s="42"/>
    </row>
    <row r="29" spans="2:20" ht="13.5" customHeight="1" x14ac:dyDescent="0.25">
      <c r="C29" s="327"/>
      <c r="D29" s="328"/>
      <c r="E29" s="328"/>
      <c r="F29" s="328"/>
      <c r="G29" s="328"/>
      <c r="I29" s="102"/>
      <c r="J29" s="100" t="str">
        <f>B15</f>
        <v>George Town</v>
      </c>
      <c r="K29" s="335">
        <f>+Q15</f>
        <v>18002.51363885809</v>
      </c>
      <c r="L29" s="105"/>
      <c r="M29" s="96"/>
      <c r="N29" s="97"/>
      <c r="O29" s="96"/>
      <c r="P29" s="42"/>
      <c r="Q29" s="42"/>
      <c r="R29" s="42"/>
      <c r="S29" s="42"/>
      <c r="T29" s="42"/>
    </row>
    <row r="30" spans="2:20" ht="15" x14ac:dyDescent="0.25">
      <c r="C30" s="327"/>
      <c r="D30" s="328"/>
      <c r="E30" s="328"/>
      <c r="F30" s="328"/>
      <c r="G30" s="328"/>
      <c r="I30" s="102"/>
      <c r="J30" s="100" t="str">
        <f>B16</f>
        <v>West Bay</v>
      </c>
      <c r="K30" s="335">
        <f t="shared" ref="K30:K33" si="7">+Q16</f>
        <v>7011.745587828691</v>
      </c>
      <c r="L30" s="105"/>
      <c r="M30" s="96"/>
      <c r="N30" s="97"/>
      <c r="O30" s="96"/>
      <c r="P30" s="42"/>
      <c r="Q30" s="42"/>
      <c r="R30" s="42"/>
      <c r="S30" s="42"/>
      <c r="T30" s="42"/>
    </row>
    <row r="31" spans="2:20" ht="13.5" customHeight="1" x14ac:dyDescent="0.25">
      <c r="C31" s="332"/>
      <c r="D31" s="328"/>
      <c r="E31" s="328"/>
      <c r="F31" s="328"/>
      <c r="G31" s="328"/>
      <c r="I31" s="102"/>
      <c r="J31" s="100" t="str">
        <f>B17</f>
        <v>Bodden Town</v>
      </c>
      <c r="K31" s="335">
        <f t="shared" si="7"/>
        <v>6166.2380385530259</v>
      </c>
      <c r="L31" s="105"/>
      <c r="M31" s="96"/>
      <c r="N31" s="97"/>
      <c r="O31" s="96"/>
      <c r="P31" s="42"/>
      <c r="Q31" s="42"/>
      <c r="R31" s="42"/>
      <c r="S31" s="42"/>
      <c r="T31" s="42"/>
    </row>
    <row r="32" spans="2:20" ht="15" x14ac:dyDescent="0.25">
      <c r="C32" s="332"/>
      <c r="D32" s="328"/>
      <c r="E32" s="328"/>
      <c r="F32" s="328"/>
      <c r="G32" s="328"/>
      <c r="I32" s="102"/>
      <c r="J32" s="100" t="str">
        <f>B18</f>
        <v>North Side</v>
      </c>
      <c r="K32" s="335">
        <f t="shared" si="7"/>
        <v>774.40132811116769</v>
      </c>
      <c r="L32" s="105"/>
      <c r="M32" s="96"/>
      <c r="N32" s="97"/>
      <c r="O32" s="96"/>
      <c r="P32" s="42"/>
      <c r="Q32" s="42"/>
      <c r="R32" s="42"/>
      <c r="S32" s="42"/>
      <c r="T32" s="42"/>
    </row>
    <row r="33" spans="2:20" ht="15" x14ac:dyDescent="0.25">
      <c r="C33" s="332"/>
      <c r="D33" s="328"/>
      <c r="E33" s="328"/>
      <c r="F33" s="328"/>
      <c r="G33" s="328"/>
      <c r="I33" s="102"/>
      <c r="J33" s="100" t="str">
        <f>B19</f>
        <v>East End</v>
      </c>
      <c r="K33" s="335">
        <f t="shared" si="7"/>
        <v>865.51026540420844</v>
      </c>
      <c r="L33" s="105"/>
      <c r="M33" s="96"/>
      <c r="N33" s="97"/>
      <c r="O33" s="96"/>
      <c r="P33" s="42"/>
      <c r="Q33" s="42"/>
      <c r="R33" s="42"/>
      <c r="S33" s="42"/>
      <c r="T33" s="42"/>
    </row>
    <row r="34" spans="2:20" ht="15" x14ac:dyDescent="0.25">
      <c r="C34" s="332"/>
      <c r="D34" s="328"/>
      <c r="E34" s="328"/>
      <c r="F34" s="328"/>
      <c r="G34" s="328"/>
      <c r="I34" s="102"/>
      <c r="J34" s="100" t="str">
        <f>B21</f>
        <v xml:space="preserve">Sister Islands </v>
      </c>
      <c r="K34" s="135">
        <f>+Q23+Q24</f>
        <v>1312.6598177791457</v>
      </c>
      <c r="L34" s="105"/>
      <c r="M34" s="95"/>
      <c r="N34" s="97"/>
      <c r="O34" s="95"/>
      <c r="P34" s="42"/>
      <c r="Q34" s="42"/>
      <c r="R34" s="42"/>
      <c r="S34" s="42"/>
      <c r="T34" s="42"/>
    </row>
    <row r="35" spans="2:20" ht="15" x14ac:dyDescent="0.25">
      <c r="C35" s="332"/>
      <c r="D35" s="328"/>
      <c r="E35" s="328"/>
      <c r="F35" s="328"/>
      <c r="G35" s="328"/>
      <c r="I35" s="102"/>
      <c r="J35" s="100"/>
      <c r="K35" s="336">
        <f>SUM(K37:K38)</f>
        <v>0</v>
      </c>
      <c r="L35" s="105"/>
      <c r="M35" s="95"/>
      <c r="N35" s="95"/>
      <c r="O35" s="95"/>
      <c r="P35" s="42"/>
      <c r="Q35" s="42"/>
      <c r="R35" s="42"/>
      <c r="S35" s="42"/>
      <c r="T35" s="42"/>
    </row>
    <row r="36" spans="2:20" ht="15" x14ac:dyDescent="0.25">
      <c r="C36" s="332"/>
      <c r="D36" s="328"/>
      <c r="E36" s="328"/>
      <c r="F36" s="328"/>
      <c r="G36" s="328"/>
      <c r="I36" s="102"/>
      <c r="J36" s="102"/>
      <c r="K36" s="105"/>
      <c r="L36" s="105"/>
      <c r="M36" s="95"/>
      <c r="N36" s="95"/>
      <c r="O36" s="95"/>
      <c r="P36" s="42"/>
      <c r="Q36" s="42"/>
      <c r="R36" s="42"/>
      <c r="S36" s="42"/>
      <c r="T36" s="42"/>
    </row>
    <row r="37" spans="2:20" ht="15" x14ac:dyDescent="0.25">
      <c r="C37" s="332"/>
      <c r="D37" s="328"/>
      <c r="E37" s="328"/>
      <c r="F37" s="328"/>
      <c r="G37" s="328"/>
      <c r="H37" s="42"/>
      <c r="I37" s="103"/>
      <c r="J37" s="103"/>
      <c r="K37" s="103"/>
      <c r="L37" s="103"/>
      <c r="M37" s="42"/>
      <c r="N37" s="42"/>
      <c r="O37" s="42"/>
      <c r="P37" s="42"/>
      <c r="Q37" s="42"/>
      <c r="R37" s="42"/>
      <c r="S37" s="42"/>
      <c r="T37" s="42"/>
    </row>
    <row r="38" spans="2:20" ht="13.5" customHeight="1" x14ac:dyDescent="0.25">
      <c r="C38" s="333"/>
      <c r="D38" s="328"/>
      <c r="E38" s="328"/>
      <c r="F38" s="328"/>
      <c r="G38" s="328"/>
      <c r="H38" s="42"/>
      <c r="I38" s="103"/>
      <c r="J38" s="103"/>
      <c r="K38" s="103"/>
      <c r="L38" s="103"/>
      <c r="M38" s="42"/>
      <c r="N38" s="42"/>
      <c r="O38" s="42"/>
      <c r="P38" s="42"/>
      <c r="Q38" s="42"/>
      <c r="R38" s="42"/>
      <c r="S38" s="42"/>
      <c r="T38" s="42"/>
    </row>
    <row r="39" spans="2:20" ht="13.5" customHeight="1" x14ac:dyDescent="0.25">
      <c r="C39" s="330"/>
      <c r="D39" s="328"/>
      <c r="E39" s="328"/>
      <c r="F39" s="328"/>
      <c r="G39" s="328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</row>
    <row r="40" spans="2:20" ht="15" x14ac:dyDescent="0.25"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</row>
    <row r="41" spans="2:20" ht="15" x14ac:dyDescent="0.25"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</row>
    <row r="42" spans="2:20" ht="15" x14ac:dyDescent="0.25"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</row>
    <row r="43" spans="2:20" ht="15" x14ac:dyDescent="0.25"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</row>
    <row r="44" spans="2:20" ht="15" x14ac:dyDescent="0.25"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</row>
    <row r="45" spans="2:20" ht="15" x14ac:dyDescent="0.25"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</row>
    <row r="46" spans="2:20" ht="15" x14ac:dyDescent="0.25"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</row>
    <row r="47" spans="2:20" ht="12.75" customHeight="1" x14ac:dyDescent="0.25">
      <c r="B47" s="114" t="s">
        <v>112</v>
      </c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</row>
    <row r="48" spans="2:20" ht="15" x14ac:dyDescent="0.25">
      <c r="B48" s="114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</row>
    <row r="49" spans="2:18" ht="15" x14ac:dyDescent="0.25"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</row>
    <row r="50" spans="2:18" ht="12" customHeight="1" x14ac:dyDescent="0.25">
      <c r="B50" s="101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</row>
  </sheetData>
  <mergeCells count="10">
    <mergeCell ref="C5:R5"/>
    <mergeCell ref="B8:B9"/>
    <mergeCell ref="G8:H8"/>
    <mergeCell ref="E8:F8"/>
    <mergeCell ref="Q8:R8"/>
    <mergeCell ref="C8:D8"/>
    <mergeCell ref="O8:P8"/>
    <mergeCell ref="M8:N8"/>
    <mergeCell ref="K8:L8"/>
    <mergeCell ref="I8:J8"/>
  </mergeCells>
  <pageMargins left="0.7" right="0.7" top="0.75" bottom="0.75" header="0.3" footer="0.3"/>
  <pageSetup scale="60" orientation="landscape" r:id="rId1"/>
  <ignoredErrors>
    <ignoredError sqref="D21 C13:D13 E13:G13 F21:G21 L13:N22 O13:P13 Q13 P21:Q21 O21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71681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57150</xdr:rowOff>
              </from>
              <to>
                <xdr:col>1</xdr:col>
                <xdr:colOff>552450</xdr:colOff>
                <xdr:row>4</xdr:row>
                <xdr:rowOff>9525</xdr:rowOff>
              </to>
            </anchor>
          </objectPr>
        </oleObject>
      </mc:Choice>
      <mc:Fallback>
        <oleObject progId="MSPhotoEd.3" shapeId="7168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53"/>
  <sheetViews>
    <sheetView tabSelected="1" zoomScaleNormal="100" zoomScaleSheetLayoutView="100" workbookViewId="0">
      <selection activeCell="I4" sqref="I4"/>
    </sheetView>
  </sheetViews>
  <sheetFormatPr defaultRowHeight="15" x14ac:dyDescent="0.25"/>
  <cols>
    <col min="1" max="1" width="9.140625" style="46"/>
    <col min="2" max="2" width="12.140625" style="46" bestFit="1" customWidth="1"/>
    <col min="3" max="8" width="9.5703125" style="46" customWidth="1"/>
    <col min="9" max="9" width="9.140625" style="46"/>
    <col min="17" max="16384" width="9.140625" style="46"/>
  </cols>
  <sheetData>
    <row r="1" spans="2:25" s="42" customFormat="1" x14ac:dyDescent="0.25">
      <c r="J1"/>
      <c r="K1"/>
      <c r="L1"/>
      <c r="M1"/>
      <c r="N1"/>
      <c r="O1"/>
      <c r="P1"/>
    </row>
    <row r="2" spans="2:25" s="42" customFormat="1" x14ac:dyDescent="0.25">
      <c r="G2" s="43" t="s">
        <v>323</v>
      </c>
      <c r="H2" s="43"/>
      <c r="J2"/>
      <c r="K2"/>
      <c r="L2"/>
      <c r="M2"/>
      <c r="N2"/>
      <c r="O2"/>
      <c r="P2"/>
    </row>
    <row r="3" spans="2:25" s="42" customFormat="1" x14ac:dyDescent="0.25">
      <c r="G3" s="44"/>
      <c r="H3" s="44"/>
      <c r="J3"/>
      <c r="K3"/>
      <c r="L3"/>
      <c r="M3"/>
      <c r="N3"/>
      <c r="O3"/>
      <c r="P3"/>
    </row>
    <row r="7" spans="2:25" x14ac:dyDescent="0.25">
      <c r="B7" s="47" t="s">
        <v>29</v>
      </c>
      <c r="C7" s="387" t="s">
        <v>331</v>
      </c>
      <c r="D7" s="387"/>
      <c r="E7" s="387"/>
      <c r="F7" s="387"/>
      <c r="G7" s="387"/>
      <c r="H7" s="387"/>
    </row>
    <row r="8" spans="2:25" x14ac:dyDescent="0.25">
      <c r="B8" s="44"/>
      <c r="C8" s="44"/>
      <c r="D8" s="44"/>
      <c r="E8" s="44"/>
      <c r="F8" s="44"/>
      <c r="G8" s="44"/>
      <c r="H8" s="44"/>
      <c r="I8" s="59"/>
    </row>
    <row r="9" spans="2:25" x14ac:dyDescent="0.25">
      <c r="B9" s="253" t="s">
        <v>0</v>
      </c>
      <c r="C9" s="385" t="s">
        <v>1</v>
      </c>
      <c r="D9" s="385"/>
      <c r="E9" s="386" t="s">
        <v>2</v>
      </c>
      <c r="F9" s="386"/>
      <c r="G9" s="385" t="s">
        <v>3</v>
      </c>
      <c r="H9" s="385"/>
      <c r="I9" s="59"/>
      <c r="Q9"/>
      <c r="R9"/>
      <c r="S9"/>
      <c r="T9"/>
    </row>
    <row r="10" spans="2:25" s="106" customFormat="1" x14ac:dyDescent="0.25">
      <c r="B10" s="75"/>
      <c r="C10" s="338" t="s">
        <v>4</v>
      </c>
      <c r="D10" s="338" t="s">
        <v>5</v>
      </c>
      <c r="E10" s="338" t="s">
        <v>4</v>
      </c>
      <c r="F10" s="338" t="s">
        <v>5</v>
      </c>
      <c r="G10" s="338" t="s">
        <v>4</v>
      </c>
      <c r="H10" s="338" t="s">
        <v>5</v>
      </c>
      <c r="I10" s="84"/>
      <c r="J10"/>
      <c r="K10"/>
      <c r="L10"/>
      <c r="M10"/>
      <c r="N10"/>
      <c r="O10"/>
      <c r="P10"/>
      <c r="Q10" s="107"/>
      <c r="R10" s="107"/>
      <c r="S10" s="107"/>
      <c r="T10" s="107"/>
    </row>
    <row r="11" spans="2:25" x14ac:dyDescent="0.25">
      <c r="B11" s="124"/>
      <c r="C11" s="124"/>
      <c r="D11" s="124"/>
      <c r="E11" s="124"/>
      <c r="F11" s="124"/>
      <c r="G11" s="124"/>
      <c r="H11" s="124"/>
      <c r="I11" s="59"/>
      <c r="Q11"/>
      <c r="R11"/>
      <c r="S11"/>
      <c r="T11"/>
      <c r="U11"/>
      <c r="V11"/>
      <c r="W11"/>
      <c r="X11"/>
      <c r="Y11"/>
    </row>
    <row r="12" spans="2:25" x14ac:dyDescent="0.25">
      <c r="B12" s="125" t="s">
        <v>1</v>
      </c>
      <c r="C12" s="49">
        <f t="shared" ref="C12:H12" si="0">SUM(C14:C19)</f>
        <v>81546.088299999494</v>
      </c>
      <c r="D12" s="49">
        <f t="shared" si="0"/>
        <v>100.00000000000001</v>
      </c>
      <c r="E12" s="49">
        <f t="shared" si="0"/>
        <v>41342.365185822266</v>
      </c>
      <c r="F12" s="49">
        <f t="shared" si="0"/>
        <v>99.999999999999986</v>
      </c>
      <c r="G12" s="49">
        <f t="shared" si="0"/>
        <v>40203.723114178167</v>
      </c>
      <c r="H12" s="49">
        <f t="shared" si="0"/>
        <v>100</v>
      </c>
      <c r="I12" s="59"/>
      <c r="Q12"/>
      <c r="R12"/>
      <c r="S12"/>
      <c r="T12"/>
      <c r="U12"/>
      <c r="V12"/>
      <c r="W12"/>
      <c r="X12"/>
      <c r="Y12"/>
    </row>
    <row r="13" spans="2:25" x14ac:dyDescent="0.25">
      <c r="B13" s="50"/>
      <c r="C13" s="51"/>
      <c r="D13" s="52"/>
      <c r="E13" s="51"/>
      <c r="F13" s="52"/>
      <c r="G13" s="51"/>
      <c r="H13" s="52"/>
      <c r="I13" s="59"/>
      <c r="Q13"/>
      <c r="R13"/>
      <c r="S13"/>
      <c r="T13"/>
      <c r="U13"/>
      <c r="V13"/>
      <c r="W13"/>
      <c r="X13"/>
      <c r="Y13"/>
    </row>
    <row r="14" spans="2:25" x14ac:dyDescent="0.25">
      <c r="B14" s="50" t="s">
        <v>6</v>
      </c>
      <c r="C14" s="53">
        <v>40956.767625932844</v>
      </c>
      <c r="D14" s="126">
        <f>+C14/$C$12*100</f>
        <v>50.225300170447419</v>
      </c>
      <c r="E14" s="51">
        <v>21947.372974725306</v>
      </c>
      <c r="F14" s="126">
        <f>+E14/$E$12*100</f>
        <v>53.08688285268164</v>
      </c>
      <c r="G14" s="51">
        <v>19009.39465120832</v>
      </c>
      <c r="H14" s="126">
        <f>+G14/$G$12*100</f>
        <v>47.282672296846314</v>
      </c>
      <c r="I14" s="59"/>
      <c r="Q14"/>
      <c r="R14"/>
      <c r="S14"/>
      <c r="T14"/>
      <c r="U14"/>
      <c r="V14"/>
      <c r="W14"/>
      <c r="X14"/>
      <c r="Y14"/>
    </row>
    <row r="15" spans="2:25" x14ac:dyDescent="0.25">
      <c r="B15" s="50" t="s">
        <v>7</v>
      </c>
      <c r="C15" s="53">
        <v>16943.396562090213</v>
      </c>
      <c r="D15" s="126">
        <f t="shared" ref="D15:D19" si="1">+C15/$C$12*100</f>
        <v>20.77769383585542</v>
      </c>
      <c r="E15" s="51">
        <v>8406.9025059042833</v>
      </c>
      <c r="F15" s="52">
        <f t="shared" ref="F15:F19" si="2">+E15/$E$12*100</f>
        <v>20.334836838960783</v>
      </c>
      <c r="G15" s="51">
        <v>8536.4940561859767</v>
      </c>
      <c r="H15" s="52">
        <f t="shared" ref="H15:H19" si="3">+G15/$G$12*100</f>
        <v>21.233093342978261</v>
      </c>
      <c r="Q15"/>
      <c r="R15"/>
      <c r="S15"/>
      <c r="T15"/>
      <c r="U15"/>
      <c r="V15"/>
      <c r="W15"/>
      <c r="X15"/>
      <c r="Y15"/>
    </row>
    <row r="16" spans="2:25" x14ac:dyDescent="0.25">
      <c r="B16" s="50" t="s">
        <v>8</v>
      </c>
      <c r="C16" s="53">
        <v>16957.15460602074</v>
      </c>
      <c r="D16" s="126">
        <f t="shared" si="1"/>
        <v>20.79456533051242</v>
      </c>
      <c r="E16" s="51">
        <v>7646.319836462384</v>
      </c>
      <c r="F16" s="52">
        <f t="shared" si="2"/>
        <v>18.495119478758252</v>
      </c>
      <c r="G16" s="51">
        <v>9310.8347695584616</v>
      </c>
      <c r="H16" s="52">
        <f t="shared" si="3"/>
        <v>23.159135643024367</v>
      </c>
      <c r="Q16"/>
      <c r="R16"/>
      <c r="S16"/>
      <c r="T16"/>
      <c r="U16"/>
      <c r="V16"/>
      <c r="W16"/>
      <c r="X16"/>
      <c r="Y16"/>
    </row>
    <row r="17" spans="2:25" x14ac:dyDescent="0.25">
      <c r="B17" s="50" t="s">
        <v>10</v>
      </c>
      <c r="C17" s="53">
        <v>2110.2436191029306</v>
      </c>
      <c r="D17" s="126">
        <f t="shared" si="1"/>
        <v>2.5877925760700697</v>
      </c>
      <c r="E17" s="51">
        <v>1102.2242053726848</v>
      </c>
      <c r="F17" s="52">
        <f t="shared" si="2"/>
        <v>2.666088890702063</v>
      </c>
      <c r="G17" s="51">
        <v>1008.0194137302418</v>
      </c>
      <c r="H17" s="52">
        <f t="shared" si="3"/>
        <v>2.5072787683555497</v>
      </c>
      <c r="Q17"/>
      <c r="R17"/>
      <c r="S17"/>
      <c r="T17"/>
      <c r="U17"/>
      <c r="V17"/>
      <c r="W17"/>
      <c r="X17"/>
      <c r="Y17"/>
    </row>
    <row r="18" spans="2:25" x14ac:dyDescent="0.25">
      <c r="B18" s="50" t="s">
        <v>9</v>
      </c>
      <c r="C18" s="53">
        <v>2274.4804648994336</v>
      </c>
      <c r="D18" s="126">
        <f t="shared" si="1"/>
        <v>2.7891962843537743</v>
      </c>
      <c r="E18" s="51">
        <v>944.0837193777121</v>
      </c>
      <c r="F18" s="52">
        <f t="shared" si="2"/>
        <v>2.2835745249076154</v>
      </c>
      <c r="G18" s="51">
        <v>1330.3967455217189</v>
      </c>
      <c r="H18" s="52">
        <f t="shared" si="3"/>
        <v>3.3091381654962788</v>
      </c>
      <c r="Q18"/>
      <c r="R18"/>
      <c r="S18"/>
      <c r="T18"/>
      <c r="U18"/>
      <c r="V18"/>
      <c r="W18"/>
      <c r="X18"/>
      <c r="Y18"/>
    </row>
    <row r="19" spans="2:25" ht="15" customHeight="1" x14ac:dyDescent="0.25">
      <c r="B19" s="341" t="s">
        <v>11</v>
      </c>
      <c r="C19" s="127">
        <v>2304.0454219533412</v>
      </c>
      <c r="D19" s="126">
        <f t="shared" si="1"/>
        <v>2.8254518027609126</v>
      </c>
      <c r="E19" s="127">
        <v>1295.4619439798887</v>
      </c>
      <c r="F19" s="152">
        <f t="shared" si="2"/>
        <v>3.1334974139896277</v>
      </c>
      <c r="G19" s="127">
        <v>1008.58347797345</v>
      </c>
      <c r="H19" s="152">
        <f t="shared" si="3"/>
        <v>2.508681783299231</v>
      </c>
      <c r="Q19"/>
      <c r="R19"/>
      <c r="S19"/>
      <c r="T19"/>
      <c r="U19"/>
      <c r="V19"/>
      <c r="W19"/>
      <c r="X19"/>
      <c r="Y19"/>
    </row>
    <row r="20" spans="2:25" x14ac:dyDescent="0.25">
      <c r="D20" s="54"/>
      <c r="Q20"/>
      <c r="R20"/>
      <c r="S20"/>
      <c r="T20"/>
      <c r="U20"/>
      <c r="V20"/>
      <c r="W20"/>
      <c r="X20"/>
      <c r="Y20"/>
    </row>
    <row r="21" spans="2:25" x14ac:dyDescent="0.25">
      <c r="Q21"/>
      <c r="R21"/>
      <c r="S21"/>
      <c r="T21"/>
      <c r="U21"/>
      <c r="V21"/>
      <c r="W21"/>
      <c r="X21"/>
      <c r="Y21"/>
    </row>
    <row r="22" spans="2:25" x14ac:dyDescent="0.25">
      <c r="Q22"/>
      <c r="R22"/>
      <c r="S22"/>
      <c r="T22"/>
      <c r="U22"/>
    </row>
    <row r="23" spans="2:25" ht="15" customHeight="1" x14ac:dyDescent="0.25"/>
    <row r="24" spans="2:25" ht="15" customHeight="1" x14ac:dyDescent="0.25"/>
    <row r="25" spans="2:25" ht="15" customHeight="1" x14ac:dyDescent="0.25">
      <c r="B25" s="47" t="s">
        <v>30</v>
      </c>
      <c r="C25" s="387" t="s">
        <v>332</v>
      </c>
      <c r="D25" s="387"/>
      <c r="E25" s="387"/>
      <c r="F25" s="387"/>
      <c r="G25" s="387"/>
      <c r="H25" s="387"/>
    </row>
    <row r="26" spans="2:25" ht="15" customHeight="1" x14ac:dyDescent="0.25">
      <c r="B26" s="44"/>
      <c r="C26" s="44"/>
      <c r="D26" s="44"/>
      <c r="E26" s="44"/>
      <c r="F26" s="44"/>
      <c r="G26" s="44"/>
      <c r="H26" s="44"/>
    </row>
    <row r="27" spans="2:25" ht="15" customHeight="1" x14ac:dyDescent="0.25">
      <c r="B27" s="253" t="s">
        <v>0</v>
      </c>
      <c r="C27" s="385" t="s">
        <v>1</v>
      </c>
      <c r="D27" s="385"/>
      <c r="E27" s="386" t="s">
        <v>12</v>
      </c>
      <c r="F27" s="386"/>
      <c r="G27" s="385" t="s">
        <v>13</v>
      </c>
      <c r="H27" s="385"/>
    </row>
    <row r="28" spans="2:25" ht="15" customHeight="1" x14ac:dyDescent="0.25">
      <c r="B28" s="48"/>
      <c r="C28" s="130" t="s">
        <v>4</v>
      </c>
      <c r="D28" s="130" t="s">
        <v>5</v>
      </c>
      <c r="E28" s="130" t="s">
        <v>4</v>
      </c>
      <c r="F28" s="130" t="s">
        <v>5</v>
      </c>
      <c r="G28" s="130" t="s">
        <v>4</v>
      </c>
      <c r="H28" s="130" t="s">
        <v>5</v>
      </c>
    </row>
    <row r="29" spans="2:25" ht="15" customHeight="1" x14ac:dyDescent="0.25">
      <c r="B29" s="124"/>
      <c r="C29" s="124"/>
      <c r="D29" s="124"/>
      <c r="E29" s="124"/>
      <c r="F29" s="124"/>
      <c r="G29" s="124"/>
      <c r="H29" s="124"/>
    </row>
    <row r="30" spans="2:25" ht="15" customHeight="1" x14ac:dyDescent="0.25">
      <c r="B30" s="125" t="s">
        <v>1</v>
      </c>
      <c r="C30" s="49">
        <f>SUM(C32:C37)</f>
        <v>81546.088299999494</v>
      </c>
      <c r="D30" s="49">
        <f t="shared" ref="D30:H30" si="4">SUM(D32:D37)</f>
        <v>100.00000000000001</v>
      </c>
      <c r="E30" s="49">
        <f t="shared" si="4"/>
        <v>38723.9999999996</v>
      </c>
      <c r="F30" s="49">
        <f t="shared" si="4"/>
        <v>99.999999999999986</v>
      </c>
      <c r="G30" s="49">
        <f t="shared" si="4"/>
        <v>42822.088300000571</v>
      </c>
      <c r="H30" s="49">
        <f t="shared" si="4"/>
        <v>100.00000000000003</v>
      </c>
    </row>
    <row r="31" spans="2:25" ht="15" customHeight="1" x14ac:dyDescent="0.25">
      <c r="B31" s="50"/>
      <c r="C31" s="51"/>
      <c r="D31" s="52"/>
      <c r="E31" s="51"/>
      <c r="F31" s="52"/>
      <c r="G31" s="51"/>
      <c r="H31" s="52"/>
    </row>
    <row r="32" spans="2:25" ht="15" customHeight="1" x14ac:dyDescent="0.25">
      <c r="B32" s="50" t="s">
        <v>6</v>
      </c>
      <c r="C32" s="53">
        <v>40956.767625932844</v>
      </c>
      <c r="D32" s="126">
        <f>+C32/$C$30*100</f>
        <v>50.225300170447419</v>
      </c>
      <c r="E32" s="51">
        <v>14587.80821917781</v>
      </c>
      <c r="F32" s="126">
        <f>+E32/$E$30*100</f>
        <v>37.671232876712018</v>
      </c>
      <c r="G32" s="51">
        <v>26368.959406755715</v>
      </c>
      <c r="H32" s="126">
        <f>+G32/$G$30*100</f>
        <v>61.577938987985704</v>
      </c>
    </row>
    <row r="33" spans="2:8" ht="15" customHeight="1" x14ac:dyDescent="0.25">
      <c r="B33" s="50" t="s">
        <v>7</v>
      </c>
      <c r="C33" s="53">
        <v>16943.396562090213</v>
      </c>
      <c r="D33" s="126">
        <f t="shared" ref="D33:D37" si="5">+C33/$C$30*100</f>
        <v>20.77769383585542</v>
      </c>
      <c r="E33" s="51">
        <v>8788.0493150684943</v>
      </c>
      <c r="F33" s="52">
        <f t="shared" ref="F33:F37" si="6">+E33/$E$30*100</f>
        <v>22.694063926940878</v>
      </c>
      <c r="G33" s="51">
        <v>8155.3472470217412</v>
      </c>
      <c r="H33" s="52">
        <f t="shared" ref="H33:H37" si="7">+G33/$G$30*100</f>
        <v>19.044721009137781</v>
      </c>
    </row>
    <row r="34" spans="2:8" ht="15" customHeight="1" x14ac:dyDescent="0.25">
      <c r="B34" s="50" t="s">
        <v>8</v>
      </c>
      <c r="C34" s="53">
        <v>16957.15460602074</v>
      </c>
      <c r="D34" s="126">
        <f t="shared" si="5"/>
        <v>20.79456533051242</v>
      </c>
      <c r="E34" s="51">
        <v>11687.928767123152</v>
      </c>
      <c r="F34" s="52">
        <f t="shared" si="6"/>
        <v>30.182648401826444</v>
      </c>
      <c r="G34" s="51">
        <v>5269.2258388975524</v>
      </c>
      <c r="H34" s="52">
        <f t="shared" si="7"/>
        <v>12.304924976994833</v>
      </c>
    </row>
    <row r="35" spans="2:8" ht="15" customHeight="1" x14ac:dyDescent="0.25">
      <c r="B35" s="50" t="s">
        <v>10</v>
      </c>
      <c r="C35" s="53">
        <v>2110.2436191029306</v>
      </c>
      <c r="D35" s="126">
        <f t="shared" si="5"/>
        <v>2.5877925760700697</v>
      </c>
      <c r="E35" s="51">
        <v>1396.8931506849315</v>
      </c>
      <c r="F35" s="52">
        <f t="shared" si="6"/>
        <v>3.6073059360730966</v>
      </c>
      <c r="G35" s="51">
        <v>713.35046841799692</v>
      </c>
      <c r="H35" s="52">
        <f t="shared" si="7"/>
        <v>1.6658469886392426</v>
      </c>
    </row>
    <row r="36" spans="2:8" ht="15" customHeight="1" x14ac:dyDescent="0.25">
      <c r="B36" s="50" t="s">
        <v>9</v>
      </c>
      <c r="C36" s="53">
        <v>2274.4804648994336</v>
      </c>
      <c r="D36" s="126">
        <f t="shared" si="5"/>
        <v>2.7891962843537743</v>
      </c>
      <c r="E36" s="51">
        <v>1060.9315068493136</v>
      </c>
      <c r="F36" s="52">
        <f t="shared" si="6"/>
        <v>2.7397260273972845</v>
      </c>
      <c r="G36" s="51">
        <v>1213.5489580501169</v>
      </c>
      <c r="H36" s="52">
        <f t="shared" si="7"/>
        <v>2.8339322210264575</v>
      </c>
    </row>
    <row r="37" spans="2:8" ht="15" customHeight="1" x14ac:dyDescent="0.25">
      <c r="B37" s="341" t="s">
        <v>11</v>
      </c>
      <c r="C37" s="127">
        <v>2304.0454219533412</v>
      </c>
      <c r="D37" s="129">
        <f t="shared" si="5"/>
        <v>2.8254518027609126</v>
      </c>
      <c r="E37" s="127">
        <v>1202.3890410958895</v>
      </c>
      <c r="F37" s="152">
        <f t="shared" si="6"/>
        <v>3.1050228310502579</v>
      </c>
      <c r="G37" s="127">
        <v>1101.6563808574501</v>
      </c>
      <c r="H37" s="152">
        <f t="shared" si="7"/>
        <v>2.5726358162159864</v>
      </c>
    </row>
    <row r="38" spans="2:8" ht="15" customHeight="1" x14ac:dyDescent="0.25">
      <c r="B38" s="201"/>
      <c r="C38" s="51"/>
      <c r="D38" s="200"/>
      <c r="E38" s="51"/>
      <c r="F38" s="52"/>
      <c r="G38" s="51"/>
      <c r="H38" s="52"/>
    </row>
    <row r="39" spans="2:8" x14ac:dyDescent="0.25">
      <c r="B39" s="55" t="s">
        <v>38</v>
      </c>
    </row>
    <row r="51" spans="1:25" s="42" customFormat="1" ht="12.75" customHeight="1" x14ac:dyDescent="0.25">
      <c r="A51" s="56"/>
      <c r="B51" s="56"/>
      <c r="C51" s="56"/>
      <c r="D51" s="56"/>
      <c r="E51" s="56"/>
      <c r="F51" s="56"/>
      <c r="G51" s="56"/>
      <c r="H51" s="56"/>
      <c r="J51"/>
      <c r="K51"/>
      <c r="L51"/>
      <c r="M51"/>
      <c r="N51"/>
      <c r="O51"/>
      <c r="P51"/>
      <c r="Q51" s="46"/>
      <c r="R51" s="46"/>
      <c r="S51" s="46"/>
      <c r="T51" s="46"/>
      <c r="U51" s="46"/>
      <c r="V51" s="46"/>
      <c r="W51" s="46"/>
      <c r="X51" s="46"/>
      <c r="Y51" s="46"/>
    </row>
    <row r="52" spans="1:25" x14ac:dyDescent="0.25">
      <c r="A52" s="72"/>
      <c r="B52" s="339"/>
      <c r="C52" s="339"/>
      <c r="D52" s="339"/>
      <c r="E52" s="339"/>
      <c r="F52" s="339"/>
      <c r="G52" s="339"/>
      <c r="H52" s="339"/>
      <c r="V52" s="42"/>
      <c r="W52" s="42"/>
      <c r="X52" s="42"/>
      <c r="Y52" s="42"/>
    </row>
    <row r="53" spans="1:25" x14ac:dyDescent="0.25">
      <c r="Q53" s="42"/>
      <c r="R53" s="42"/>
      <c r="S53" s="42"/>
      <c r="T53" s="42"/>
      <c r="U53" s="42"/>
    </row>
  </sheetData>
  <mergeCells count="8">
    <mergeCell ref="C27:D27"/>
    <mergeCell ref="E27:F27"/>
    <mergeCell ref="G27:H27"/>
    <mergeCell ref="C7:H7"/>
    <mergeCell ref="C25:H25"/>
    <mergeCell ref="C9:D9"/>
    <mergeCell ref="E9:F9"/>
    <mergeCell ref="G9:H9"/>
  </mergeCells>
  <pageMargins left="0.7" right="0.7" top="0.75" bottom="0.75" header="0.3" footer="0.3"/>
  <pageSetup scale="96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57150</xdr:rowOff>
              </from>
              <to>
                <xdr:col>1</xdr:col>
                <xdr:colOff>257175</xdr:colOff>
                <xdr:row>2</xdr:row>
                <xdr:rowOff>85725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5"/>
  <sheetViews>
    <sheetView zoomScaleNormal="100" zoomScaleSheetLayoutView="100" workbookViewId="0">
      <selection activeCell="I4" sqref="I4"/>
    </sheetView>
  </sheetViews>
  <sheetFormatPr defaultRowHeight="12.75" x14ac:dyDescent="0.2"/>
  <cols>
    <col min="1" max="1" width="9.140625" style="46"/>
    <col min="2" max="2" width="10.7109375" style="46" customWidth="1"/>
    <col min="3" max="7" width="9.7109375" style="46" customWidth="1"/>
    <col min="8" max="8" width="10.42578125" style="46" customWidth="1"/>
    <col min="9" max="16384" width="9.140625" style="46"/>
  </cols>
  <sheetData>
    <row r="1" spans="2:25" s="42" customFormat="1" ht="15" x14ac:dyDescent="0.25"/>
    <row r="2" spans="2:25" s="42" customFormat="1" ht="15" x14ac:dyDescent="0.25">
      <c r="G2" s="43" t="s">
        <v>323</v>
      </c>
    </row>
    <row r="3" spans="2:25" s="42" customFormat="1" ht="15" x14ac:dyDescent="0.25">
      <c r="G3" s="44"/>
      <c r="H3" s="44"/>
      <c r="I3" s="45"/>
    </row>
    <row r="7" spans="2:25" ht="15" x14ac:dyDescent="0.25">
      <c r="B7" s="47" t="s">
        <v>334</v>
      </c>
      <c r="C7" s="387" t="s">
        <v>322</v>
      </c>
      <c r="D7" s="387"/>
      <c r="E7" s="387"/>
      <c r="F7" s="387"/>
      <c r="G7" s="387"/>
      <c r="H7" s="387"/>
      <c r="J7" s="42"/>
      <c r="K7" s="42"/>
      <c r="L7" s="42"/>
      <c r="M7" s="42"/>
      <c r="N7" s="42"/>
    </row>
    <row r="8" spans="2:25" ht="15" x14ac:dyDescent="0.25">
      <c r="B8" s="44"/>
      <c r="C8" s="44"/>
      <c r="D8" s="44"/>
      <c r="E8" s="44"/>
      <c r="F8" s="44"/>
      <c r="G8" s="44"/>
      <c r="H8" s="44"/>
      <c r="J8" s="42"/>
      <c r="K8" s="42"/>
      <c r="L8" s="42"/>
      <c r="M8" s="42"/>
      <c r="N8" s="42"/>
    </row>
    <row r="9" spans="2:25" ht="15" x14ac:dyDescent="0.25">
      <c r="B9" s="122" t="s">
        <v>99</v>
      </c>
      <c r="C9" s="385" t="s">
        <v>1</v>
      </c>
      <c r="D9" s="385"/>
      <c r="E9" s="386" t="s">
        <v>2</v>
      </c>
      <c r="F9" s="386"/>
      <c r="G9" s="385" t="s">
        <v>3</v>
      </c>
      <c r="H9" s="385"/>
      <c r="J9" s="42"/>
      <c r="K9" s="42"/>
      <c r="L9" s="42"/>
      <c r="M9" s="42"/>
      <c r="N9" s="42"/>
    </row>
    <row r="10" spans="2:25" s="118" customFormat="1" ht="15" x14ac:dyDescent="0.25">
      <c r="B10" s="75"/>
      <c r="C10" s="123" t="s">
        <v>4</v>
      </c>
      <c r="D10" s="123" t="s">
        <v>5</v>
      </c>
      <c r="E10" s="123" t="s">
        <v>4</v>
      </c>
      <c r="F10" s="123" t="s">
        <v>5</v>
      </c>
      <c r="G10" s="123" t="s">
        <v>4</v>
      </c>
      <c r="H10" s="123" t="s">
        <v>5</v>
      </c>
      <c r="I10" s="85"/>
      <c r="J10" s="42"/>
      <c r="K10" s="42"/>
      <c r="L10" s="42"/>
      <c r="M10" s="42"/>
      <c r="N10" s="42"/>
      <c r="O10" s="85"/>
      <c r="P10" s="85"/>
      <c r="Q10" s="85"/>
    </row>
    <row r="11" spans="2:25" ht="15" x14ac:dyDescent="0.25">
      <c r="B11" s="124"/>
      <c r="C11" s="124"/>
      <c r="D11" s="124"/>
      <c r="E11" s="124"/>
      <c r="F11" s="124"/>
      <c r="G11" s="124"/>
      <c r="H11" s="124"/>
      <c r="I11" s="42"/>
      <c r="J11" s="42"/>
      <c r="K11" s="42"/>
      <c r="L11" s="42"/>
      <c r="M11" s="42"/>
      <c r="N11" s="42"/>
      <c r="O11" s="42"/>
      <c r="P11" s="42"/>
      <c r="Q11" s="42"/>
    </row>
    <row r="12" spans="2:25" ht="15" x14ac:dyDescent="0.25">
      <c r="B12" s="125" t="s">
        <v>1</v>
      </c>
      <c r="C12" s="49">
        <f>SUM(C14:C21)</f>
        <v>81546.088299999959</v>
      </c>
      <c r="D12" s="49">
        <f t="shared" ref="D12:H12" si="0">SUM(D14:D21)</f>
        <v>100</v>
      </c>
      <c r="E12" s="49">
        <f t="shared" si="0"/>
        <v>41342.365185821989</v>
      </c>
      <c r="F12" s="49">
        <f t="shared" si="0"/>
        <v>100</v>
      </c>
      <c r="G12" s="49">
        <f t="shared" si="0"/>
        <v>40203.723114178116</v>
      </c>
      <c r="H12" s="49">
        <f t="shared" si="0"/>
        <v>99.999999999999986</v>
      </c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</row>
    <row r="13" spans="2:25" ht="15" x14ac:dyDescent="0.25">
      <c r="B13" s="50"/>
      <c r="C13" s="51"/>
      <c r="D13" s="52"/>
      <c r="E13" s="51"/>
      <c r="F13" s="52"/>
      <c r="G13" s="51"/>
      <c r="H13" s="5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</row>
    <row r="14" spans="2:25" ht="15" x14ac:dyDescent="0.25">
      <c r="B14" s="53" t="s">
        <v>125</v>
      </c>
      <c r="C14" s="53">
        <v>8283.4036484293683</v>
      </c>
      <c r="D14" s="126">
        <f>+C14/$C$12*100</f>
        <v>10.157941136251134</v>
      </c>
      <c r="E14" s="53">
        <v>3966.2891502657958</v>
      </c>
      <c r="F14" s="126">
        <f>+E14/$E$12*100</f>
        <v>9.5937644893766283</v>
      </c>
      <c r="G14" s="53">
        <v>4317.1144981635698</v>
      </c>
      <c r="H14" s="126">
        <f>+G14/$G$12*100</f>
        <v>10.738096285020703</v>
      </c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</row>
    <row r="15" spans="2:25" ht="15" x14ac:dyDescent="0.25">
      <c r="B15" s="53" t="s">
        <v>126</v>
      </c>
      <c r="C15" s="53">
        <v>6989.6768138369434</v>
      </c>
      <c r="D15" s="126">
        <f t="shared" ref="D15:D21" si="1">+C15/$C$12*100</f>
        <v>8.5714434126166985</v>
      </c>
      <c r="E15" s="53">
        <v>3601.3583427385156</v>
      </c>
      <c r="F15" s="126">
        <f t="shared" ref="F15:F21" si="2">+E15/$E$12*100</f>
        <v>8.7110602563531376</v>
      </c>
      <c r="G15" s="53">
        <v>3388.3184710984228</v>
      </c>
      <c r="H15" s="126">
        <f t="shared" ref="H15:H21" si="3">+G15/$G$12*100</f>
        <v>8.4278723676303233</v>
      </c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</row>
    <row r="16" spans="2:25" ht="15" x14ac:dyDescent="0.25">
      <c r="B16" s="53" t="s">
        <v>127</v>
      </c>
      <c r="C16" s="53">
        <v>10688.383476557819</v>
      </c>
      <c r="D16" s="126">
        <f t="shared" si="1"/>
        <v>13.107168840811001</v>
      </c>
      <c r="E16" s="53">
        <v>5317.1716274761711</v>
      </c>
      <c r="F16" s="126">
        <f t="shared" si="2"/>
        <v>12.861314546415089</v>
      </c>
      <c r="G16" s="53">
        <v>5371.2118490816592</v>
      </c>
      <c r="H16" s="126">
        <f t="shared" si="3"/>
        <v>13.359986172990693</v>
      </c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</row>
    <row r="17" spans="2:25" ht="15" x14ac:dyDescent="0.25">
      <c r="B17" s="53" t="s">
        <v>128</v>
      </c>
      <c r="C17" s="53">
        <v>17842.200022059566</v>
      </c>
      <c r="D17" s="126">
        <f t="shared" si="1"/>
        <v>21.879896870613688</v>
      </c>
      <c r="E17" s="53">
        <v>9647.1065062045582</v>
      </c>
      <c r="F17" s="126">
        <f t="shared" si="2"/>
        <v>23.334674885782661</v>
      </c>
      <c r="G17" s="53">
        <v>8195.0935158549582</v>
      </c>
      <c r="H17" s="126">
        <f t="shared" si="3"/>
        <v>20.383916913816627</v>
      </c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</row>
    <row r="18" spans="2:25" ht="15" x14ac:dyDescent="0.25">
      <c r="B18" s="53" t="s">
        <v>129</v>
      </c>
      <c r="C18" s="53">
        <v>15571.897676443006</v>
      </c>
      <c r="D18" s="126">
        <f t="shared" si="1"/>
        <v>19.095824215571863</v>
      </c>
      <c r="E18" s="53">
        <v>7889.9855751327013</v>
      </c>
      <c r="F18" s="126">
        <f t="shared" si="2"/>
        <v>19.084504574591936</v>
      </c>
      <c r="G18" s="53">
        <v>7681.9121013103459</v>
      </c>
      <c r="H18" s="126">
        <f t="shared" si="3"/>
        <v>19.107464449234719</v>
      </c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 spans="2:25" ht="15" x14ac:dyDescent="0.25">
      <c r="B19" s="53" t="s">
        <v>130</v>
      </c>
      <c r="C19" s="53">
        <v>12144.451291505724</v>
      </c>
      <c r="D19" s="126">
        <f t="shared" si="1"/>
        <v>14.892745372196755</v>
      </c>
      <c r="E19" s="53">
        <v>6326.20146877765</v>
      </c>
      <c r="F19" s="126">
        <f t="shared" si="2"/>
        <v>15.301982458776129</v>
      </c>
      <c r="G19" s="53">
        <v>5818.2498227281594</v>
      </c>
      <c r="H19" s="126">
        <f t="shared" si="3"/>
        <v>14.47191795198767</v>
      </c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</row>
    <row r="20" spans="2:25" ht="15" x14ac:dyDescent="0.25">
      <c r="B20" s="53" t="s">
        <v>131</v>
      </c>
      <c r="C20" s="53">
        <v>9745.4315074580445</v>
      </c>
      <c r="D20" s="126">
        <f t="shared" si="1"/>
        <v>11.950826472025943</v>
      </c>
      <c r="E20" s="53">
        <v>4409.2310776729846</v>
      </c>
      <c r="F20" s="126">
        <f t="shared" si="2"/>
        <v>10.665164070451134</v>
      </c>
      <c r="G20" s="53">
        <v>5336.2004297851154</v>
      </c>
      <c r="H20" s="126">
        <f t="shared" si="3"/>
        <v>13.27290115552325</v>
      </c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2:25" ht="15" x14ac:dyDescent="0.25">
      <c r="B21" s="127" t="s">
        <v>122</v>
      </c>
      <c r="C21" s="128">
        <v>280.6438637094875</v>
      </c>
      <c r="D21" s="129">
        <f t="shared" si="1"/>
        <v>0.34415367991291818</v>
      </c>
      <c r="E21" s="128">
        <v>185.02143755360913</v>
      </c>
      <c r="F21" s="129">
        <f t="shared" si="2"/>
        <v>0.44753471825327651</v>
      </c>
      <c r="G21" s="128">
        <v>95.622426155878401</v>
      </c>
      <c r="H21" s="129">
        <f t="shared" si="3"/>
        <v>0.23784470379599373</v>
      </c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</row>
    <row r="22" spans="2:25" ht="15" x14ac:dyDescent="0.25">
      <c r="B22" s="51"/>
      <c r="C22" s="53"/>
      <c r="D22" s="126"/>
      <c r="E22" s="53"/>
      <c r="F22" s="126"/>
      <c r="G22" s="53"/>
      <c r="H22" s="126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</row>
    <row r="23" spans="2:25" ht="15" x14ac:dyDescent="0.25"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</row>
    <row r="24" spans="2:25" ht="15" x14ac:dyDescent="0.25"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</row>
    <row r="25" spans="2:25" ht="15" x14ac:dyDescent="0.25"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</row>
    <row r="26" spans="2:25" ht="15" customHeight="1" x14ac:dyDescent="0.25"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</row>
    <row r="27" spans="2:25" ht="15" customHeight="1" x14ac:dyDescent="0.25">
      <c r="B27" s="47" t="s">
        <v>37</v>
      </c>
      <c r="C27" s="387" t="s">
        <v>321</v>
      </c>
      <c r="D27" s="387"/>
      <c r="E27" s="387"/>
      <c r="F27" s="387"/>
      <c r="G27" s="387"/>
      <c r="H27" s="387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</row>
    <row r="28" spans="2:25" ht="15" customHeight="1" x14ac:dyDescent="0.25">
      <c r="B28" s="44"/>
      <c r="C28" s="44"/>
      <c r="D28" s="44"/>
      <c r="E28" s="44"/>
      <c r="F28" s="44"/>
      <c r="G28" s="44"/>
      <c r="H28" s="44"/>
      <c r="I28" s="42"/>
      <c r="J28" s="42"/>
      <c r="K28" s="42"/>
      <c r="L28" s="42"/>
      <c r="M28" s="42"/>
      <c r="N28" s="42"/>
    </row>
    <row r="29" spans="2:25" ht="15" customHeight="1" x14ac:dyDescent="0.25">
      <c r="B29" s="122" t="s">
        <v>99</v>
      </c>
      <c r="C29" s="385" t="s">
        <v>1</v>
      </c>
      <c r="D29" s="385"/>
      <c r="E29" s="386" t="s">
        <v>12</v>
      </c>
      <c r="F29" s="386"/>
      <c r="G29" s="385" t="s">
        <v>13</v>
      </c>
      <c r="H29" s="385"/>
      <c r="I29" s="42"/>
      <c r="J29" s="42"/>
      <c r="K29" s="42"/>
      <c r="L29" s="42"/>
      <c r="M29" s="42"/>
      <c r="N29" s="42"/>
    </row>
    <row r="30" spans="2:25" ht="15" customHeight="1" x14ac:dyDescent="0.25">
      <c r="B30" s="48"/>
      <c r="C30" s="130" t="s">
        <v>4</v>
      </c>
      <c r="D30" s="130" t="s">
        <v>5</v>
      </c>
      <c r="E30" s="130" t="s">
        <v>4</v>
      </c>
      <c r="F30" s="130" t="s">
        <v>5</v>
      </c>
      <c r="G30" s="130" t="s">
        <v>4</v>
      </c>
      <c r="H30" s="130" t="s">
        <v>5</v>
      </c>
      <c r="I30" s="42"/>
      <c r="J30" s="42"/>
      <c r="K30" s="42"/>
      <c r="L30" s="42"/>
      <c r="M30" s="42"/>
      <c r="N30" s="42"/>
    </row>
    <row r="31" spans="2:25" ht="15" customHeight="1" x14ac:dyDescent="0.25">
      <c r="B31" s="124"/>
      <c r="C31" s="124"/>
      <c r="D31" s="124"/>
      <c r="E31" s="124"/>
      <c r="F31" s="124"/>
      <c r="G31" s="124"/>
      <c r="H31" s="124"/>
      <c r="I31" s="42"/>
      <c r="J31" s="42"/>
      <c r="K31" s="42"/>
      <c r="L31" s="42"/>
      <c r="M31" s="42"/>
      <c r="N31" s="42"/>
    </row>
    <row r="32" spans="2:25" ht="15" customHeight="1" x14ac:dyDescent="0.25">
      <c r="B32" s="125" t="s">
        <v>1</v>
      </c>
      <c r="C32" s="49">
        <f>SUM(C34:C41)</f>
        <v>81546.088299999959</v>
      </c>
      <c r="D32" s="49">
        <f t="shared" ref="D32:H32" si="4">SUM(D34:D41)</f>
        <v>100</v>
      </c>
      <c r="E32" s="49">
        <f t="shared" si="4"/>
        <v>38724.000000000124</v>
      </c>
      <c r="F32" s="49">
        <f t="shared" si="4"/>
        <v>100</v>
      </c>
      <c r="G32" s="49">
        <f t="shared" si="4"/>
        <v>42822.088300000185</v>
      </c>
      <c r="H32" s="49">
        <f t="shared" si="4"/>
        <v>100</v>
      </c>
      <c r="I32" s="42"/>
      <c r="J32" s="42"/>
      <c r="K32" s="42"/>
      <c r="L32" s="42"/>
      <c r="M32" s="42"/>
      <c r="N32" s="42"/>
    </row>
    <row r="33" spans="2:14" ht="15" customHeight="1" x14ac:dyDescent="0.25">
      <c r="B33" s="50"/>
      <c r="C33" s="51"/>
      <c r="D33" s="131"/>
      <c r="E33" s="51"/>
      <c r="F33" s="131"/>
      <c r="G33" s="51"/>
      <c r="H33" s="131"/>
      <c r="I33" s="42"/>
      <c r="J33" s="42"/>
      <c r="K33" s="42"/>
      <c r="L33" s="42"/>
      <c r="M33" s="42"/>
      <c r="N33" s="42"/>
    </row>
    <row r="34" spans="2:14" ht="15" customHeight="1" x14ac:dyDescent="0.25">
      <c r="B34" s="53" t="s">
        <v>125</v>
      </c>
      <c r="C34" s="53">
        <v>8283.4036484293683</v>
      </c>
      <c r="D34" s="126">
        <f>+C34/$C$32*100</f>
        <v>10.157941136251134</v>
      </c>
      <c r="E34" s="53">
        <v>5304.6575342465921</v>
      </c>
      <c r="F34" s="126">
        <f>+E34/$E$32*100</f>
        <v>13.698630136986301</v>
      </c>
      <c r="G34" s="53">
        <v>2978.7461141827716</v>
      </c>
      <c r="H34" s="126">
        <f>+G34/$G$32*100</f>
        <v>6.9560972676401658</v>
      </c>
      <c r="I34" s="42"/>
      <c r="J34" s="42"/>
      <c r="K34" s="42"/>
      <c r="L34" s="42"/>
      <c r="M34" s="42"/>
      <c r="N34" s="42"/>
    </row>
    <row r="35" spans="2:14" ht="15" customHeight="1" x14ac:dyDescent="0.25">
      <c r="B35" s="53" t="s">
        <v>126</v>
      </c>
      <c r="C35" s="53">
        <v>6989.6768138369434</v>
      </c>
      <c r="D35" s="126">
        <f t="shared" ref="D35:D41" si="5">+C35/$C$32*100</f>
        <v>8.5714434126166985</v>
      </c>
      <c r="E35" s="53">
        <v>5269.2931506849482</v>
      </c>
      <c r="F35" s="126">
        <f t="shared" ref="F35:F41" si="6">+E35/$E$32*100</f>
        <v>13.607305936073057</v>
      </c>
      <c r="G35" s="53">
        <v>1720.3836631519923</v>
      </c>
      <c r="H35" s="126">
        <f t="shared" ref="H35:H41" si="7">+G35/$G$32*100</f>
        <v>4.0175146319335031</v>
      </c>
      <c r="I35" s="42"/>
      <c r="J35" s="42"/>
      <c r="K35" s="42"/>
      <c r="L35" s="42"/>
      <c r="M35" s="42"/>
      <c r="N35" s="42"/>
    </row>
    <row r="36" spans="2:14" ht="15" customHeight="1" x14ac:dyDescent="0.25">
      <c r="B36" s="53" t="s">
        <v>127</v>
      </c>
      <c r="C36" s="53">
        <v>10688.383476557819</v>
      </c>
      <c r="D36" s="126">
        <f t="shared" si="5"/>
        <v>13.107168840811001</v>
      </c>
      <c r="E36" s="53">
        <v>4296.7726027397384</v>
      </c>
      <c r="F36" s="126">
        <f t="shared" si="6"/>
        <v>11.0958904109589</v>
      </c>
      <c r="G36" s="53">
        <v>6391.610873818091</v>
      </c>
      <c r="H36" s="126">
        <f t="shared" si="7"/>
        <v>14.925967246249556</v>
      </c>
      <c r="I36" s="42"/>
      <c r="J36" s="42"/>
      <c r="K36" s="42"/>
      <c r="L36" s="42"/>
      <c r="M36" s="42"/>
      <c r="N36" s="42"/>
    </row>
    <row r="37" spans="2:14" ht="15" customHeight="1" x14ac:dyDescent="0.25">
      <c r="B37" s="53" t="s">
        <v>128</v>
      </c>
      <c r="C37" s="53">
        <v>17842.200022059566</v>
      </c>
      <c r="D37" s="126">
        <f t="shared" si="5"/>
        <v>21.879896870613688</v>
      </c>
      <c r="E37" s="53">
        <v>4579.6876712328904</v>
      </c>
      <c r="F37" s="126">
        <f t="shared" si="6"/>
        <v>11.826484018264837</v>
      </c>
      <c r="G37" s="53">
        <v>13262.512350826781</v>
      </c>
      <c r="H37" s="126">
        <f t="shared" si="7"/>
        <v>30.97119472061507</v>
      </c>
      <c r="I37" s="42"/>
      <c r="J37" s="42"/>
      <c r="K37" s="42"/>
      <c r="L37" s="42"/>
      <c r="M37" s="42"/>
      <c r="N37" s="42"/>
    </row>
    <row r="38" spans="2:14" ht="15" customHeight="1" x14ac:dyDescent="0.25">
      <c r="B38" s="53" t="s">
        <v>129</v>
      </c>
      <c r="C38" s="53">
        <v>15571.897676443006</v>
      </c>
      <c r="D38" s="126">
        <f t="shared" si="5"/>
        <v>19.095824215571863</v>
      </c>
      <c r="E38" s="53">
        <v>5145.5178082191942</v>
      </c>
      <c r="F38" s="126">
        <f t="shared" si="6"/>
        <v>13.287671232876711</v>
      </c>
      <c r="G38" s="53">
        <v>10426.379868223914</v>
      </c>
      <c r="H38" s="126">
        <f t="shared" si="7"/>
        <v>24.348134997946534</v>
      </c>
      <c r="I38" s="42"/>
      <c r="J38" s="42"/>
      <c r="K38" s="42"/>
      <c r="L38" s="42"/>
      <c r="M38" s="42"/>
      <c r="N38" s="42"/>
    </row>
    <row r="39" spans="2:14" ht="15" customHeight="1" x14ac:dyDescent="0.25">
      <c r="B39" s="53" t="s">
        <v>130</v>
      </c>
      <c r="C39" s="53">
        <v>12144.451291505724</v>
      </c>
      <c r="D39" s="126">
        <f t="shared" si="5"/>
        <v>14.892745372196755</v>
      </c>
      <c r="E39" s="53">
        <v>6259.4958904109799</v>
      </c>
      <c r="F39" s="126">
        <f t="shared" si="6"/>
        <v>16.164383561643838</v>
      </c>
      <c r="G39" s="53">
        <v>5884.9554010948259</v>
      </c>
      <c r="H39" s="126">
        <f t="shared" si="7"/>
        <v>13.742803386575616</v>
      </c>
      <c r="I39" s="42"/>
      <c r="J39" s="42"/>
      <c r="K39" s="42"/>
      <c r="L39" s="42"/>
      <c r="M39" s="42"/>
      <c r="N39" s="42"/>
    </row>
    <row r="40" spans="2:14" ht="15" customHeight="1" x14ac:dyDescent="0.25">
      <c r="B40" s="53" t="s">
        <v>131</v>
      </c>
      <c r="C40" s="53">
        <v>9745.4315074580445</v>
      </c>
      <c r="D40" s="126">
        <f t="shared" si="5"/>
        <v>11.950826472025943</v>
      </c>
      <c r="E40" s="53">
        <v>7850.8931506849594</v>
      </c>
      <c r="F40" s="126">
        <f t="shared" si="6"/>
        <v>20.273972602739736</v>
      </c>
      <c r="G40" s="53">
        <v>1894.5383567731442</v>
      </c>
      <c r="H40" s="126">
        <f t="shared" si="7"/>
        <v>4.4242082345459455</v>
      </c>
      <c r="I40" s="42"/>
    </row>
    <row r="41" spans="2:14" ht="15" customHeight="1" x14ac:dyDescent="0.25">
      <c r="B41" s="127" t="s">
        <v>122</v>
      </c>
      <c r="C41" s="128">
        <v>280.6438637094875</v>
      </c>
      <c r="D41" s="129">
        <f t="shared" si="5"/>
        <v>0.34415367991291818</v>
      </c>
      <c r="E41" s="128">
        <v>17.682191780821899</v>
      </c>
      <c r="F41" s="129">
        <f t="shared" si="6"/>
        <v>4.5662100456620808E-2</v>
      </c>
      <c r="G41" s="128">
        <v>262.96167192866562</v>
      </c>
      <c r="H41" s="129">
        <f t="shared" si="7"/>
        <v>0.61407951449360887</v>
      </c>
      <c r="I41" s="42"/>
    </row>
    <row r="42" spans="2:14" ht="15" customHeight="1" x14ac:dyDescent="0.25">
      <c r="I42" s="42"/>
    </row>
    <row r="43" spans="2:14" ht="15" customHeight="1" x14ac:dyDescent="0.2">
      <c r="B43" s="55" t="s">
        <v>38</v>
      </c>
    </row>
    <row r="44" spans="2:14" ht="15" customHeight="1" x14ac:dyDescent="0.2"/>
    <row r="54" spans="1:25" s="42" customFormat="1" ht="12.75" customHeight="1" x14ac:dyDescent="0.25">
      <c r="A54" s="56"/>
      <c r="B54" s="56"/>
      <c r="C54" s="56"/>
      <c r="D54" s="56"/>
      <c r="E54" s="56"/>
      <c r="F54" s="56"/>
      <c r="G54" s="56"/>
      <c r="H54" s="5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</row>
    <row r="55" spans="1:25" ht="15" x14ac:dyDescent="0.25">
      <c r="A55" s="118"/>
      <c r="B55" s="118"/>
      <c r="C55" s="118"/>
      <c r="D55" s="118"/>
      <c r="E55" s="118"/>
      <c r="F55" s="118"/>
      <c r="G55" s="118"/>
      <c r="H55" s="118"/>
      <c r="I55" s="56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</row>
  </sheetData>
  <mergeCells count="8">
    <mergeCell ref="C29:D29"/>
    <mergeCell ref="E29:F29"/>
    <mergeCell ref="G29:H29"/>
    <mergeCell ref="C7:H7"/>
    <mergeCell ref="C27:H27"/>
    <mergeCell ref="C9:D9"/>
    <mergeCell ref="E9:F9"/>
    <mergeCell ref="G9:H9"/>
  </mergeCells>
  <pageMargins left="0.7" right="0.7" top="0.75" bottom="0.75" header="0.3" footer="0.3"/>
  <pageSetup scale="96" orientation="portrait" r:id="rId1"/>
  <rowBreaks count="1" manualBreakCount="1">
    <brk id="56" max="8" man="1"/>
  </rowBreaks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57150</xdr:rowOff>
              </from>
              <to>
                <xdr:col>1</xdr:col>
                <xdr:colOff>257175</xdr:colOff>
                <xdr:row>2</xdr:row>
                <xdr:rowOff>85725</xdr:rowOff>
              </to>
            </anchor>
          </objectPr>
        </oleObject>
      </mc:Choice>
      <mc:Fallback>
        <oleObject progId="MSPhotoEd.3" shapeId="204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51"/>
  <sheetViews>
    <sheetView view="pageBreakPreview" zoomScaleNormal="100" zoomScaleSheetLayoutView="100" workbookViewId="0">
      <selection activeCell="C9" sqref="C9"/>
    </sheetView>
  </sheetViews>
  <sheetFormatPr defaultRowHeight="15" x14ac:dyDescent="0.25"/>
  <cols>
    <col min="1" max="1" width="9.140625" style="15"/>
    <col min="2" max="2" width="10.28515625" style="15" customWidth="1"/>
    <col min="3" max="3" width="9.5703125" style="15" customWidth="1"/>
    <col min="4" max="4" width="13.5703125" style="15" customWidth="1"/>
    <col min="5" max="5" width="15.85546875" style="15" customWidth="1"/>
    <col min="6" max="6" width="11" style="15" customWidth="1"/>
    <col min="7" max="9" width="9.140625" style="15"/>
    <col min="16" max="16384" width="9.140625" style="15"/>
  </cols>
  <sheetData>
    <row r="1" spans="3:15" s="13" customFormat="1" x14ac:dyDescent="0.25">
      <c r="J1"/>
      <c r="K1"/>
      <c r="L1"/>
      <c r="M1"/>
      <c r="N1"/>
      <c r="O1"/>
    </row>
    <row r="2" spans="3:15" s="13" customFormat="1" x14ac:dyDescent="0.25">
      <c r="J2"/>
      <c r="K2"/>
      <c r="L2"/>
      <c r="M2"/>
      <c r="N2"/>
      <c r="O2"/>
    </row>
    <row r="3" spans="3:15" s="13" customFormat="1" x14ac:dyDescent="0.25">
      <c r="E3" s="1"/>
      <c r="F3" s="1"/>
      <c r="H3" s="14" t="s">
        <v>107</v>
      </c>
      <c r="J3"/>
      <c r="K3"/>
      <c r="L3"/>
      <c r="M3"/>
      <c r="N3"/>
      <c r="O3"/>
    </row>
    <row r="4" spans="3:15" s="12" customFormat="1" ht="9" customHeight="1" x14ac:dyDescent="0.25">
      <c r="J4"/>
      <c r="K4"/>
      <c r="L4"/>
      <c r="M4"/>
      <c r="N4"/>
      <c r="O4"/>
    </row>
    <row r="6" spans="3:15" ht="29.25" customHeight="1" x14ac:dyDescent="0.25">
      <c r="C6" s="388" t="s">
        <v>36</v>
      </c>
      <c r="D6" s="390" t="s">
        <v>120</v>
      </c>
      <c r="E6" s="390"/>
      <c r="F6" s="390"/>
    </row>
    <row r="7" spans="3:15" ht="15" customHeight="1" x14ac:dyDescent="0.25">
      <c r="C7" s="389"/>
      <c r="D7" s="24"/>
      <c r="E7" s="40" t="s">
        <v>4</v>
      </c>
      <c r="F7" s="40" t="s">
        <v>5</v>
      </c>
    </row>
    <row r="8" spans="3:15" ht="15" customHeight="1" x14ac:dyDescent="0.25">
      <c r="D8" s="17"/>
      <c r="E8" s="18"/>
      <c r="F8" s="18"/>
    </row>
    <row r="9" spans="3:15" x14ac:dyDescent="0.25">
      <c r="C9" s="15" t="s">
        <v>10</v>
      </c>
    </row>
    <row r="10" spans="3:15" x14ac:dyDescent="0.25">
      <c r="C10" s="15" t="s">
        <v>1</v>
      </c>
      <c r="E10" s="19"/>
      <c r="F10" s="20"/>
    </row>
    <row r="11" spans="3:15" x14ac:dyDescent="0.25">
      <c r="C11" s="15" t="s">
        <v>14</v>
      </c>
      <c r="E11" s="19"/>
      <c r="F11" s="20"/>
    </row>
    <row r="12" spans="3:15" x14ac:dyDescent="0.25">
      <c r="C12" s="15" t="s">
        <v>15</v>
      </c>
      <c r="E12" s="19"/>
      <c r="F12" s="20"/>
    </row>
    <row r="13" spans="3:15" x14ac:dyDescent="0.25">
      <c r="C13" s="15" t="s">
        <v>16</v>
      </c>
      <c r="E13" s="19"/>
      <c r="F13" s="20"/>
    </row>
    <row r="14" spans="3:15" x14ac:dyDescent="0.25">
      <c r="C14" s="15" t="s">
        <v>17</v>
      </c>
      <c r="E14" s="19"/>
      <c r="F14" s="20"/>
    </row>
    <row r="15" spans="3:15" x14ac:dyDescent="0.25">
      <c r="C15" s="15" t="s">
        <v>18</v>
      </c>
      <c r="E15" s="19"/>
      <c r="F15" s="20"/>
    </row>
    <row r="16" spans="3:15" x14ac:dyDescent="0.25">
      <c r="C16" s="15" t="s">
        <v>19</v>
      </c>
      <c r="E16" s="19"/>
      <c r="F16" s="20"/>
    </row>
    <row r="17" spans="3:6" x14ac:dyDescent="0.25">
      <c r="C17" s="15" t="s">
        <v>20</v>
      </c>
      <c r="E17" s="19"/>
      <c r="F17" s="20"/>
    </row>
    <row r="18" spans="3:6" x14ac:dyDescent="0.25">
      <c r="E18" s="19"/>
      <c r="F18" s="20"/>
    </row>
    <row r="19" spans="3:6" x14ac:dyDescent="0.25">
      <c r="C19" s="15" t="s">
        <v>9</v>
      </c>
    </row>
    <row r="20" spans="3:6" x14ac:dyDescent="0.25">
      <c r="C20" s="15" t="s">
        <v>1</v>
      </c>
      <c r="E20" s="19"/>
      <c r="F20" s="20"/>
    </row>
    <row r="21" spans="3:6" x14ac:dyDescent="0.25">
      <c r="C21" s="15" t="s">
        <v>14</v>
      </c>
      <c r="E21" s="19"/>
      <c r="F21" s="20"/>
    </row>
    <row r="22" spans="3:6" x14ac:dyDescent="0.25">
      <c r="C22" s="15" t="s">
        <v>15</v>
      </c>
      <c r="E22" s="19"/>
      <c r="F22" s="20"/>
    </row>
    <row r="23" spans="3:6" x14ac:dyDescent="0.25">
      <c r="C23" s="15" t="s">
        <v>16</v>
      </c>
      <c r="E23" s="19"/>
      <c r="F23" s="20"/>
    </row>
    <row r="24" spans="3:6" x14ac:dyDescent="0.25">
      <c r="C24" s="15" t="s">
        <v>17</v>
      </c>
      <c r="E24" s="19"/>
      <c r="F24" s="20"/>
    </row>
    <row r="25" spans="3:6" x14ac:dyDescent="0.25">
      <c r="C25" s="15" t="s">
        <v>18</v>
      </c>
      <c r="E25" s="19"/>
      <c r="F25" s="20"/>
    </row>
    <row r="26" spans="3:6" x14ac:dyDescent="0.25">
      <c r="C26" s="15" t="s">
        <v>19</v>
      </c>
      <c r="E26" s="19"/>
      <c r="F26" s="20"/>
    </row>
    <row r="27" spans="3:6" x14ac:dyDescent="0.25">
      <c r="C27" s="15" t="s">
        <v>20</v>
      </c>
      <c r="E27" s="19"/>
      <c r="F27" s="20"/>
    </row>
    <row r="28" spans="3:6" x14ac:dyDescent="0.25">
      <c r="E28" s="19"/>
      <c r="F28" s="20"/>
    </row>
    <row r="29" spans="3:6" x14ac:dyDescent="0.25">
      <c r="C29" s="15" t="s">
        <v>11</v>
      </c>
    </row>
    <row r="30" spans="3:6" x14ac:dyDescent="0.25">
      <c r="C30" s="15" t="s">
        <v>1</v>
      </c>
      <c r="E30" s="19"/>
      <c r="F30" s="20"/>
    </row>
    <row r="31" spans="3:6" x14ac:dyDescent="0.25">
      <c r="C31" s="15" t="s">
        <v>14</v>
      </c>
      <c r="E31" s="19"/>
      <c r="F31" s="20"/>
    </row>
    <row r="32" spans="3:6" x14ac:dyDescent="0.25">
      <c r="C32" s="15" t="s">
        <v>15</v>
      </c>
      <c r="E32" s="19"/>
      <c r="F32" s="20"/>
    </row>
    <row r="33" spans="2:6" x14ac:dyDescent="0.25">
      <c r="C33" s="15" t="s">
        <v>16</v>
      </c>
      <c r="E33" s="19"/>
      <c r="F33" s="20"/>
    </row>
    <row r="34" spans="2:6" x14ac:dyDescent="0.25">
      <c r="C34" s="15" t="s">
        <v>17</v>
      </c>
      <c r="E34" s="19"/>
      <c r="F34" s="20"/>
    </row>
    <row r="35" spans="2:6" x14ac:dyDescent="0.25">
      <c r="C35" s="15" t="s">
        <v>18</v>
      </c>
      <c r="E35" s="19"/>
      <c r="F35" s="20"/>
    </row>
    <row r="36" spans="2:6" x14ac:dyDescent="0.25">
      <c r="C36" s="15" t="s">
        <v>19</v>
      </c>
      <c r="E36" s="19"/>
      <c r="F36" s="20"/>
    </row>
    <row r="37" spans="2:6" x14ac:dyDescent="0.25">
      <c r="C37" s="21" t="s">
        <v>20</v>
      </c>
      <c r="D37" s="21"/>
      <c r="E37" s="22"/>
      <c r="F37" s="23"/>
    </row>
    <row r="38" spans="2:6" x14ac:dyDescent="0.25">
      <c r="E38" s="19"/>
      <c r="F38" s="20"/>
    </row>
    <row r="39" spans="2:6" x14ac:dyDescent="0.25">
      <c r="C39" s="29" t="s">
        <v>38</v>
      </c>
    </row>
    <row r="40" spans="2:6" x14ac:dyDescent="0.25">
      <c r="E40" s="19"/>
      <c r="F40" s="20"/>
    </row>
    <row r="41" spans="2:6" x14ac:dyDescent="0.25">
      <c r="E41" s="19"/>
      <c r="F41" s="20"/>
    </row>
    <row r="42" spans="2:6" x14ac:dyDescent="0.25">
      <c r="E42" s="19"/>
      <c r="F42" s="20"/>
    </row>
    <row r="43" spans="2:6" x14ac:dyDescent="0.25">
      <c r="E43" s="19"/>
      <c r="F43" s="20"/>
    </row>
    <row r="44" spans="2:6" x14ac:dyDescent="0.25">
      <c r="E44" s="19"/>
      <c r="F44" s="20"/>
    </row>
    <row r="45" spans="2:6" x14ac:dyDescent="0.25">
      <c r="E45" s="19"/>
      <c r="F45" s="20"/>
    </row>
    <row r="46" spans="2:6" x14ac:dyDescent="0.25">
      <c r="E46" s="19"/>
      <c r="F46" s="20"/>
    </row>
    <row r="47" spans="2:6" x14ac:dyDescent="0.25">
      <c r="B47" s="25"/>
      <c r="C47" s="25"/>
      <c r="D47" s="25"/>
      <c r="E47" s="26"/>
      <c r="F47" s="27"/>
    </row>
    <row r="50" spans="1:15" s="12" customFormat="1" ht="12.75" customHeigh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/>
      <c r="K50"/>
      <c r="L50"/>
      <c r="M50"/>
      <c r="N50"/>
      <c r="O50"/>
    </row>
    <row r="51" spans="1:15" x14ac:dyDescent="0.25">
      <c r="A51" s="391">
        <v>7</v>
      </c>
      <c r="B51" s="391"/>
      <c r="C51" s="391"/>
      <c r="D51" s="391"/>
      <c r="E51" s="391"/>
      <c r="F51" s="391"/>
      <c r="G51" s="391"/>
      <c r="H51" s="391"/>
    </row>
  </sheetData>
  <mergeCells count="3">
    <mergeCell ref="C6:C7"/>
    <mergeCell ref="D6:F6"/>
    <mergeCell ref="A51:H51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57150</xdr:rowOff>
              </from>
              <to>
                <xdr:col>1</xdr:col>
                <xdr:colOff>333375</xdr:colOff>
                <xdr:row>2</xdr:row>
                <xdr:rowOff>123825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Z136"/>
  <sheetViews>
    <sheetView zoomScaleNormal="100" zoomScaleSheetLayoutView="100" workbookViewId="0">
      <selection activeCell="K6" sqref="K6"/>
    </sheetView>
  </sheetViews>
  <sheetFormatPr defaultRowHeight="12.75" x14ac:dyDescent="0.2"/>
  <cols>
    <col min="1" max="1" width="9.140625" style="46"/>
    <col min="2" max="2" width="4" style="46" customWidth="1"/>
    <col min="3" max="3" width="9.140625" style="46"/>
    <col min="4" max="4" width="2" style="46" customWidth="1"/>
    <col min="5" max="5" width="13" style="46" customWidth="1"/>
    <col min="6" max="6" width="12.42578125" style="46" customWidth="1"/>
    <col min="7" max="7" width="10.85546875" style="46" customWidth="1"/>
    <col min="8" max="8" width="8.85546875" style="46" customWidth="1"/>
    <col min="9" max="10" width="12.5703125" style="46" customWidth="1"/>
    <col min="11" max="11" width="12.42578125" style="46" customWidth="1"/>
    <col min="12" max="13" width="9.140625" style="46"/>
    <col min="14" max="14" width="10.28515625" style="46" bestFit="1" customWidth="1"/>
    <col min="15" max="15" width="16.7109375" style="46" bestFit="1" customWidth="1"/>
    <col min="16" max="16384" width="9.140625" style="46"/>
  </cols>
  <sheetData>
    <row r="3" spans="3:23" ht="15" x14ac:dyDescent="0.25">
      <c r="H3" s="44"/>
      <c r="I3" s="43" t="s">
        <v>323</v>
      </c>
      <c r="J3" s="57"/>
      <c r="L3" s="57"/>
    </row>
    <row r="7" spans="3:23" x14ac:dyDescent="0.2">
      <c r="C7" s="58">
        <v>1.03</v>
      </c>
      <c r="D7" s="387" t="s">
        <v>324</v>
      </c>
      <c r="E7" s="387"/>
      <c r="F7" s="387"/>
      <c r="G7" s="387"/>
      <c r="H7" s="387"/>
      <c r="I7" s="387"/>
      <c r="J7" s="387"/>
    </row>
    <row r="8" spans="3:23" x14ac:dyDescent="0.2">
      <c r="C8" s="59"/>
      <c r="D8" s="59"/>
      <c r="E8" s="59"/>
      <c r="F8" s="59"/>
      <c r="G8" s="59"/>
      <c r="H8" s="59"/>
      <c r="I8" s="59"/>
      <c r="J8" s="59"/>
    </row>
    <row r="9" spans="3:23" ht="25.5" x14ac:dyDescent="0.2">
      <c r="C9" s="132" t="s">
        <v>22</v>
      </c>
      <c r="D9" s="133"/>
      <c r="E9" s="132" t="s">
        <v>23</v>
      </c>
      <c r="F9" s="132" t="s">
        <v>24</v>
      </c>
      <c r="G9" s="392" t="s">
        <v>25</v>
      </c>
      <c r="H9" s="392"/>
      <c r="I9" s="392" t="s">
        <v>26</v>
      </c>
      <c r="J9" s="392"/>
      <c r="K9" s="133" t="s">
        <v>123</v>
      </c>
    </row>
    <row r="10" spans="3:23" s="100" customFormat="1" x14ac:dyDescent="0.2">
      <c r="C10" s="134">
        <v>1989</v>
      </c>
      <c r="D10" s="134"/>
      <c r="E10" s="135">
        <f t="shared" ref="E10:E15" si="0">G10+I10</f>
        <v>25695</v>
      </c>
      <c r="F10" s="136" t="e">
        <f>(E10/#REF!-1)*100</f>
        <v>#REF!</v>
      </c>
      <c r="G10" s="135">
        <v>17118</v>
      </c>
      <c r="H10" s="137">
        <f t="shared" ref="H10:H15" si="1">G10/E10*100</f>
        <v>66.619964973730291</v>
      </c>
      <c r="I10" s="135">
        <v>8577</v>
      </c>
      <c r="J10" s="138">
        <f t="shared" ref="J10:J15" si="2">I10/E10*100</f>
        <v>33.380035026269702</v>
      </c>
      <c r="K10" s="139"/>
    </row>
    <row r="11" spans="3:23" x14ac:dyDescent="0.2">
      <c r="C11" s="140">
        <v>1990</v>
      </c>
      <c r="D11" s="140"/>
      <c r="E11" s="115">
        <f t="shared" si="0"/>
        <v>26969</v>
      </c>
      <c r="F11" s="141">
        <f>(E11/E10-1)*100</f>
        <v>4.9581630667445031</v>
      </c>
      <c r="G11" s="115">
        <v>17654</v>
      </c>
      <c r="H11" s="63">
        <f t="shared" si="1"/>
        <v>65.460343357187881</v>
      </c>
      <c r="I11" s="115">
        <v>9315</v>
      </c>
      <c r="J11" s="63">
        <f t="shared" si="2"/>
        <v>34.539656642812119</v>
      </c>
      <c r="K11" s="142" t="s">
        <v>124</v>
      </c>
    </row>
    <row r="12" spans="3:23" ht="15" x14ac:dyDescent="0.25">
      <c r="C12" s="140">
        <v>1991</v>
      </c>
      <c r="D12" s="140"/>
      <c r="E12" s="115">
        <f t="shared" si="0"/>
        <v>28039</v>
      </c>
      <c r="F12" s="63">
        <f t="shared" ref="F12:F30" si="3">(E12/E11-1)*100</f>
        <v>3.9675182617078919</v>
      </c>
      <c r="G12" s="115">
        <v>18253</v>
      </c>
      <c r="H12" s="63">
        <f t="shared" si="1"/>
        <v>65.098612646670702</v>
      </c>
      <c r="I12" s="115">
        <v>9786</v>
      </c>
      <c r="J12" s="63">
        <f t="shared" si="2"/>
        <v>34.901387353329291</v>
      </c>
      <c r="K12" s="142" t="s">
        <v>124</v>
      </c>
      <c r="Q12" s="42"/>
      <c r="R12" s="42"/>
      <c r="S12" s="42"/>
      <c r="T12" s="42"/>
      <c r="U12" s="42"/>
      <c r="V12" s="42"/>
      <c r="W12" s="42"/>
    </row>
    <row r="13" spans="3:23" ht="15" x14ac:dyDescent="0.25">
      <c r="C13" s="140">
        <v>1992</v>
      </c>
      <c r="D13" s="140"/>
      <c r="E13" s="115">
        <f t="shared" si="0"/>
        <v>29308</v>
      </c>
      <c r="F13" s="63">
        <f t="shared" si="3"/>
        <v>4.5258390099504275</v>
      </c>
      <c r="G13" s="115">
        <v>18652</v>
      </c>
      <c r="H13" s="63">
        <f t="shared" si="1"/>
        <v>63.641326600245662</v>
      </c>
      <c r="I13" s="115">
        <v>10656</v>
      </c>
      <c r="J13" s="63">
        <f t="shared" si="2"/>
        <v>36.358673399754331</v>
      </c>
      <c r="K13" s="142" t="s">
        <v>124</v>
      </c>
      <c r="Q13" s="42"/>
      <c r="R13" s="42"/>
      <c r="S13" s="42"/>
      <c r="T13" s="42"/>
      <c r="U13" s="42"/>
      <c r="V13" s="42"/>
      <c r="W13" s="42"/>
    </row>
    <row r="14" spans="3:23" ht="15" x14ac:dyDescent="0.25">
      <c r="C14" s="140">
        <v>1993</v>
      </c>
      <c r="D14" s="140"/>
      <c r="E14" s="115">
        <f t="shared" si="0"/>
        <v>30719</v>
      </c>
      <c r="F14" s="63">
        <f t="shared" si="3"/>
        <v>4.8143851508120727</v>
      </c>
      <c r="G14" s="115">
        <v>19487</v>
      </c>
      <c r="H14" s="63">
        <f t="shared" si="1"/>
        <v>63.436309775708843</v>
      </c>
      <c r="I14" s="115">
        <v>11232</v>
      </c>
      <c r="J14" s="63">
        <f t="shared" si="2"/>
        <v>36.563690224291157</v>
      </c>
      <c r="K14" s="142" t="s">
        <v>124</v>
      </c>
      <c r="Q14" s="42"/>
      <c r="R14" s="42"/>
      <c r="S14" s="42"/>
      <c r="T14" s="42"/>
      <c r="U14" s="42"/>
      <c r="V14" s="42"/>
      <c r="W14" s="42"/>
    </row>
    <row r="15" spans="3:23" ht="15" x14ac:dyDescent="0.25">
      <c r="C15" s="140">
        <v>1994</v>
      </c>
      <c r="D15" s="140"/>
      <c r="E15" s="115">
        <f t="shared" si="0"/>
        <v>31931</v>
      </c>
      <c r="F15" s="63">
        <f t="shared" si="3"/>
        <v>3.9454409323220085</v>
      </c>
      <c r="G15" s="115">
        <v>20035</v>
      </c>
      <c r="H15" s="63">
        <f t="shared" si="1"/>
        <v>62.744668190786378</v>
      </c>
      <c r="I15" s="115">
        <v>11896</v>
      </c>
      <c r="J15" s="63">
        <f t="shared" si="2"/>
        <v>37.255331809213615</v>
      </c>
      <c r="K15" s="142" t="s">
        <v>124</v>
      </c>
      <c r="Q15" s="42"/>
      <c r="R15" s="42"/>
      <c r="S15" s="42"/>
      <c r="T15" s="42"/>
      <c r="U15" s="42"/>
      <c r="V15" s="42"/>
      <c r="W15" s="42"/>
    </row>
    <row r="16" spans="3:23" ht="15" x14ac:dyDescent="0.25">
      <c r="C16" s="140"/>
      <c r="D16" s="140"/>
      <c r="E16" s="115"/>
      <c r="F16" s="63"/>
      <c r="G16" s="115"/>
      <c r="H16" s="63"/>
      <c r="I16" s="115"/>
      <c r="J16" s="63"/>
      <c r="K16" s="142" t="s">
        <v>124</v>
      </c>
      <c r="Q16" s="42"/>
      <c r="R16" s="42"/>
      <c r="S16" s="42"/>
      <c r="T16" s="42"/>
      <c r="U16" s="42"/>
      <c r="V16" s="42"/>
      <c r="W16" s="42"/>
    </row>
    <row r="17" spans="2:26" ht="15" x14ac:dyDescent="0.25">
      <c r="C17" s="140">
        <v>1995</v>
      </c>
      <c r="D17" s="140"/>
      <c r="E17" s="115">
        <f>G17+I17</f>
        <v>33332</v>
      </c>
      <c r="F17" s="63">
        <f>(E17/E15-1)*100</f>
        <v>4.3875857317340561</v>
      </c>
      <c r="G17" s="115">
        <v>20666</v>
      </c>
      <c r="H17" s="63">
        <f>G17/E17*100</f>
        <v>62.000480019200765</v>
      </c>
      <c r="I17" s="115">
        <v>12666</v>
      </c>
      <c r="J17" s="63">
        <f>I17/E17*100</f>
        <v>37.999519980799235</v>
      </c>
      <c r="K17" s="142" t="s">
        <v>124</v>
      </c>
      <c r="Q17" s="42"/>
      <c r="R17" s="42"/>
      <c r="S17" s="42"/>
      <c r="T17" s="42"/>
      <c r="U17" s="42"/>
      <c r="V17" s="42"/>
      <c r="W17" s="42"/>
    </row>
    <row r="18" spans="2:26" ht="15" x14ac:dyDescent="0.25">
      <c r="C18" s="140">
        <v>1996</v>
      </c>
      <c r="D18" s="140"/>
      <c r="E18" s="115">
        <v>35200</v>
      </c>
      <c r="F18" s="63">
        <f t="shared" si="3"/>
        <v>5.6042241689667538</v>
      </c>
      <c r="G18" s="115">
        <f>E18*0.59</f>
        <v>20768</v>
      </c>
      <c r="H18" s="63">
        <f>G18/E18*100</f>
        <v>59</v>
      </c>
      <c r="I18" s="115">
        <v>13785</v>
      </c>
      <c r="J18" s="63">
        <f>I18/E18*100</f>
        <v>39.161931818181813</v>
      </c>
      <c r="K18" s="142" t="s">
        <v>124</v>
      </c>
      <c r="Q18" s="42"/>
      <c r="R18" s="42"/>
      <c r="S18" s="42"/>
      <c r="T18" s="42"/>
      <c r="U18" s="42"/>
      <c r="V18" s="42"/>
      <c r="W18" s="42"/>
    </row>
    <row r="19" spans="2:26" ht="15" x14ac:dyDescent="0.25">
      <c r="C19" s="140">
        <v>1997</v>
      </c>
      <c r="D19" s="140"/>
      <c r="E19" s="115">
        <v>36600</v>
      </c>
      <c r="F19" s="63">
        <f t="shared" si="3"/>
        <v>3.9772727272727293</v>
      </c>
      <c r="G19" s="115">
        <f>E19*0.58</f>
        <v>21228</v>
      </c>
      <c r="H19" s="63">
        <f>G19/E19*100</f>
        <v>57.999999999999993</v>
      </c>
      <c r="I19" s="115">
        <f>E19-G19</f>
        <v>15372</v>
      </c>
      <c r="J19" s="63">
        <f>I19/E19*100</f>
        <v>42</v>
      </c>
      <c r="K19" s="142" t="s">
        <v>124</v>
      </c>
      <c r="Q19" s="42"/>
      <c r="R19" s="42"/>
      <c r="S19" s="42"/>
      <c r="T19" s="42"/>
      <c r="U19" s="42"/>
      <c r="V19" s="42"/>
      <c r="W19" s="42"/>
    </row>
    <row r="20" spans="2:26" ht="15" x14ac:dyDescent="0.25">
      <c r="C20" s="140">
        <v>1998</v>
      </c>
      <c r="D20" s="140"/>
      <c r="E20" s="115">
        <v>38400</v>
      </c>
      <c r="F20" s="63">
        <f t="shared" si="3"/>
        <v>4.9180327868852514</v>
      </c>
      <c r="G20" s="115">
        <f>E20*0.55</f>
        <v>21120</v>
      </c>
      <c r="H20" s="63">
        <f>G20/E20*100</f>
        <v>55.000000000000007</v>
      </c>
      <c r="I20" s="115">
        <f>E20-G20</f>
        <v>17280</v>
      </c>
      <c r="J20" s="63">
        <f>I20/E20*100</f>
        <v>45</v>
      </c>
      <c r="K20" s="142" t="s">
        <v>124</v>
      </c>
      <c r="Q20" s="42"/>
      <c r="R20" s="42"/>
      <c r="S20" s="42"/>
      <c r="T20" s="42"/>
      <c r="U20" s="42"/>
      <c r="V20" s="42"/>
      <c r="W20" s="42"/>
    </row>
    <row r="21" spans="2:26" ht="15" x14ac:dyDescent="0.25">
      <c r="C21" s="143" t="s">
        <v>139</v>
      </c>
      <c r="D21" s="140"/>
      <c r="E21" s="115">
        <v>39600</v>
      </c>
      <c r="F21" s="63">
        <f t="shared" si="3"/>
        <v>3.125</v>
      </c>
      <c r="G21" s="115">
        <f>E21*0.53</f>
        <v>20988</v>
      </c>
      <c r="H21" s="63">
        <f>G21/E21*100</f>
        <v>53</v>
      </c>
      <c r="I21" s="115">
        <f>E21-G21</f>
        <v>18612</v>
      </c>
      <c r="J21" s="63">
        <f>I21/E21*100</f>
        <v>47</v>
      </c>
      <c r="K21" s="142" t="s">
        <v>124</v>
      </c>
      <c r="Q21" s="42"/>
      <c r="R21" s="42"/>
      <c r="S21" s="42"/>
      <c r="T21" s="42"/>
      <c r="U21" s="42"/>
      <c r="V21" s="42"/>
      <c r="W21" s="42"/>
    </row>
    <row r="22" spans="2:26" x14ac:dyDescent="0.2">
      <c r="C22" s="140"/>
      <c r="D22" s="140"/>
      <c r="E22" s="115"/>
      <c r="F22" s="63"/>
      <c r="G22" s="115"/>
      <c r="H22" s="63"/>
      <c r="I22" s="115"/>
      <c r="J22" s="63"/>
      <c r="K22" s="142" t="s">
        <v>124</v>
      </c>
    </row>
    <row r="23" spans="2:26" x14ac:dyDescent="0.2">
      <c r="B23" s="64"/>
      <c r="C23" s="140">
        <v>2000</v>
      </c>
      <c r="D23" s="140"/>
      <c r="E23" s="115">
        <v>40800</v>
      </c>
      <c r="F23" s="63">
        <f>(E23/E21-1)*100</f>
        <v>3.0303030303030276</v>
      </c>
      <c r="G23" s="115">
        <f>E23*0.53</f>
        <v>21624</v>
      </c>
      <c r="H23" s="63">
        <f>G23/E23*100</f>
        <v>53</v>
      </c>
      <c r="I23" s="115">
        <f>E23-G23</f>
        <v>19176</v>
      </c>
      <c r="J23" s="63">
        <f>I23/E23*100</f>
        <v>47</v>
      </c>
      <c r="K23" s="142" t="s">
        <v>124</v>
      </c>
    </row>
    <row r="24" spans="2:26" x14ac:dyDescent="0.2">
      <c r="B24" s="64"/>
      <c r="C24" s="140">
        <v>2001</v>
      </c>
      <c r="D24" s="140"/>
      <c r="E24" s="115">
        <v>41900</v>
      </c>
      <c r="F24" s="63">
        <f t="shared" si="3"/>
        <v>2.6960784313725394</v>
      </c>
      <c r="G24" s="115">
        <f>E24*0.53</f>
        <v>22207</v>
      </c>
      <c r="H24" s="63">
        <f>G24/E24*100</f>
        <v>53</v>
      </c>
      <c r="I24" s="115">
        <f>E24-G24</f>
        <v>19693</v>
      </c>
      <c r="J24" s="63">
        <f>I24/E24*100</f>
        <v>47</v>
      </c>
      <c r="K24" s="142" t="s">
        <v>124</v>
      </c>
    </row>
    <row r="25" spans="2:26" x14ac:dyDescent="0.2">
      <c r="B25" s="64"/>
      <c r="C25" s="140">
        <v>2002</v>
      </c>
      <c r="D25" s="140"/>
      <c r="E25" s="115">
        <v>43004</v>
      </c>
      <c r="F25" s="63">
        <f t="shared" si="3"/>
        <v>2.6348448687350867</v>
      </c>
      <c r="G25" s="115">
        <v>24892</v>
      </c>
      <c r="H25" s="63">
        <v>58</v>
      </c>
      <c r="I25" s="115">
        <v>18112</v>
      </c>
      <c r="J25" s="63">
        <f>I25/E25*100</f>
        <v>42.117012370942234</v>
      </c>
      <c r="K25" s="142" t="s">
        <v>124</v>
      </c>
      <c r="O25" s="49"/>
      <c r="P25" s="49"/>
      <c r="Q25" s="49"/>
      <c r="R25" s="49"/>
      <c r="S25" s="49"/>
      <c r="T25" s="49"/>
    </row>
    <row r="26" spans="2:26" ht="15" x14ac:dyDescent="0.25">
      <c r="B26" s="64"/>
      <c r="C26" s="140">
        <v>2003</v>
      </c>
      <c r="D26" s="140"/>
      <c r="E26" s="115">
        <v>44144</v>
      </c>
      <c r="F26" s="63">
        <f t="shared" si="3"/>
        <v>2.6509161938424342</v>
      </c>
      <c r="G26" s="115">
        <v>26087</v>
      </c>
      <c r="H26" s="63">
        <f>G26/E26*100</f>
        <v>59.095233780355208</v>
      </c>
      <c r="I26" s="115">
        <v>18057</v>
      </c>
      <c r="J26" s="63">
        <f>I26/E26*100</f>
        <v>40.904766219644799</v>
      </c>
      <c r="K26" s="142" t="s">
        <v>124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</row>
    <row r="27" spans="2:26" ht="15" x14ac:dyDescent="0.25">
      <c r="B27" s="64"/>
      <c r="C27" s="140">
        <v>2004</v>
      </c>
      <c r="D27" s="144" t="s">
        <v>27</v>
      </c>
      <c r="E27" s="115">
        <v>36340</v>
      </c>
      <c r="F27" s="145">
        <f>(E27/E26-1)*100</f>
        <v>-17.678506705328012</v>
      </c>
      <c r="G27" s="115">
        <v>22131</v>
      </c>
      <c r="H27" s="63">
        <f>G27/E27*100</f>
        <v>60.899834892680239</v>
      </c>
      <c r="I27" s="115">
        <v>14209</v>
      </c>
      <c r="J27" s="63">
        <f>I27/E27*100</f>
        <v>39.100165107319754</v>
      </c>
      <c r="K27" s="142" t="s">
        <v>124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</row>
    <row r="28" spans="2:26" ht="15" x14ac:dyDescent="0.25">
      <c r="B28" s="64"/>
      <c r="C28" s="140"/>
      <c r="D28" s="140"/>
      <c r="E28" s="115"/>
      <c r="F28" s="63"/>
      <c r="G28" s="115"/>
      <c r="H28" s="63"/>
      <c r="I28" s="115"/>
      <c r="J28" s="63"/>
      <c r="K28" s="142" t="s">
        <v>124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</row>
    <row r="29" spans="2:26" ht="15" x14ac:dyDescent="0.25">
      <c r="B29" s="64"/>
      <c r="C29" s="140">
        <v>2005</v>
      </c>
      <c r="D29" s="144" t="s">
        <v>28</v>
      </c>
      <c r="E29" s="115">
        <f>+G29+I29</f>
        <v>52466</v>
      </c>
      <c r="F29" s="63">
        <f>(E29/E27-1)*100</f>
        <v>44.375343973582829</v>
      </c>
      <c r="G29" s="115">
        <v>31787</v>
      </c>
      <c r="H29" s="63">
        <f t="shared" ref="H29:H36" si="4">G29/E29*100</f>
        <v>60.585903251629624</v>
      </c>
      <c r="I29" s="115">
        <v>20679</v>
      </c>
      <c r="J29" s="63">
        <f t="shared" ref="J29:J36" si="5">I29/E29*100</f>
        <v>39.414096748370376</v>
      </c>
      <c r="K29" s="142" t="s">
        <v>124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</row>
    <row r="30" spans="2:26" ht="15" x14ac:dyDescent="0.25">
      <c r="B30" s="64"/>
      <c r="C30" s="140">
        <v>2006</v>
      </c>
      <c r="D30" s="146"/>
      <c r="E30" s="115">
        <f t="shared" ref="E30:E36" si="6">+G30+I30</f>
        <v>53172</v>
      </c>
      <c r="F30" s="63">
        <f t="shared" si="3"/>
        <v>1.3456333625586181</v>
      </c>
      <c r="G30" s="115">
        <v>30840</v>
      </c>
      <c r="H30" s="63">
        <f t="shared" si="4"/>
        <v>58.000451365380279</v>
      </c>
      <c r="I30" s="115">
        <v>22332</v>
      </c>
      <c r="J30" s="63">
        <f t="shared" si="5"/>
        <v>41.999548634619728</v>
      </c>
      <c r="K30" s="142" t="s">
        <v>124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</row>
    <row r="31" spans="2:26" ht="15" x14ac:dyDescent="0.25">
      <c r="B31" s="64"/>
      <c r="C31" s="140">
        <v>2007</v>
      </c>
      <c r="D31" s="146"/>
      <c r="E31" s="115">
        <f t="shared" si="6"/>
        <v>54986</v>
      </c>
      <c r="F31" s="63">
        <f t="shared" ref="F31:F36" si="7">(E31/E30-1)*100</f>
        <v>3.4115699992477211</v>
      </c>
      <c r="G31" s="115">
        <v>31342</v>
      </c>
      <c r="H31" s="63">
        <f t="shared" si="4"/>
        <v>56.999963627105075</v>
      </c>
      <c r="I31" s="115">
        <v>23644</v>
      </c>
      <c r="J31" s="63">
        <f t="shared" si="5"/>
        <v>43.000036372894918</v>
      </c>
      <c r="K31" s="142" t="s">
        <v>124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</row>
    <row r="32" spans="2:26" ht="15" x14ac:dyDescent="0.25">
      <c r="C32" s="140">
        <v>2008</v>
      </c>
      <c r="D32" s="59"/>
      <c r="E32" s="115">
        <f t="shared" si="6"/>
        <v>57010</v>
      </c>
      <c r="F32" s="63">
        <f t="shared" si="7"/>
        <v>3.6809369657730961</v>
      </c>
      <c r="G32" s="115">
        <v>31858</v>
      </c>
      <c r="H32" s="63">
        <f t="shared" si="4"/>
        <v>55.881424311524299</v>
      </c>
      <c r="I32" s="115">
        <v>25152</v>
      </c>
      <c r="J32" s="63">
        <f t="shared" si="5"/>
        <v>44.118575688475708</v>
      </c>
      <c r="K32" s="62">
        <v>31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</row>
    <row r="33" spans="1:26" ht="15" x14ac:dyDescent="0.25">
      <c r="C33" s="140">
        <v>2009</v>
      </c>
      <c r="D33" s="147"/>
      <c r="E33" s="115">
        <f t="shared" si="6"/>
        <v>56005</v>
      </c>
      <c r="F33" s="145">
        <f t="shared" si="7"/>
        <v>-1.7628486230485851</v>
      </c>
      <c r="G33" s="115">
        <v>31264</v>
      </c>
      <c r="H33" s="63">
        <f t="shared" si="4"/>
        <v>55.823587179716093</v>
      </c>
      <c r="I33" s="115">
        <v>24741</v>
      </c>
      <c r="J33" s="63">
        <f t="shared" si="5"/>
        <v>44.176412820283907</v>
      </c>
      <c r="K33" s="62">
        <v>31.8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</row>
    <row r="34" spans="1:26" ht="15" x14ac:dyDescent="0.25">
      <c r="C34" s="140"/>
      <c r="D34" s="147"/>
      <c r="E34" s="115"/>
      <c r="F34" s="145"/>
      <c r="G34" s="115"/>
      <c r="H34" s="63"/>
      <c r="I34" s="115"/>
      <c r="J34" s="63"/>
      <c r="K34" s="6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</row>
    <row r="35" spans="1:26" ht="15" x14ac:dyDescent="0.25">
      <c r="C35" s="143" t="s">
        <v>140</v>
      </c>
      <c r="D35" s="59"/>
      <c r="E35" s="115">
        <f t="shared" si="6"/>
        <v>55036</v>
      </c>
      <c r="F35" s="145">
        <f>(E35/E33-1)*100</f>
        <v>-1.7302026604767429</v>
      </c>
      <c r="G35" s="148">
        <v>30979</v>
      </c>
      <c r="H35" s="63">
        <f t="shared" si="4"/>
        <v>56.288611090922302</v>
      </c>
      <c r="I35" s="148">
        <v>24057</v>
      </c>
      <c r="J35" s="63">
        <f t="shared" si="5"/>
        <v>43.711388909077691</v>
      </c>
      <c r="K35" s="62">
        <v>30.8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</row>
    <row r="36" spans="1:26" ht="15" x14ac:dyDescent="0.25">
      <c r="C36" s="140">
        <v>2011</v>
      </c>
      <c r="D36" s="59"/>
      <c r="E36" s="115">
        <f t="shared" si="6"/>
        <v>55517</v>
      </c>
      <c r="F36" s="145">
        <f t="shared" si="7"/>
        <v>0.87397339922958839</v>
      </c>
      <c r="G36" s="148">
        <v>31325</v>
      </c>
      <c r="H36" s="63">
        <f t="shared" si="4"/>
        <v>56.424158365905939</v>
      </c>
      <c r="I36" s="148">
        <v>24192</v>
      </c>
      <c r="J36" s="63">
        <f t="shared" si="5"/>
        <v>43.575841634094061</v>
      </c>
      <c r="K36" s="62">
        <v>29.9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</row>
    <row r="37" spans="1:26" ht="15" x14ac:dyDescent="0.25">
      <c r="C37" s="140">
        <v>2012</v>
      </c>
      <c r="D37" s="59"/>
      <c r="E37" s="115">
        <v>56732.00000000195</v>
      </c>
      <c r="F37" s="145">
        <f>(E37/E36-1)*100</f>
        <v>2.1885188320729609</v>
      </c>
      <c r="G37" s="148">
        <v>32200.999999999356</v>
      </c>
      <c r="H37" s="63">
        <f>G37/E37*100</f>
        <v>56.759853345551448</v>
      </c>
      <c r="I37" s="148">
        <v>24531.000000000822</v>
      </c>
      <c r="J37" s="63">
        <f>I37/E37*100</f>
        <v>43.240146654445425</v>
      </c>
      <c r="K37" s="62">
        <v>31.8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</row>
    <row r="38" spans="1:26" ht="14.25" customHeight="1" x14ac:dyDescent="0.25">
      <c r="C38" s="111">
        <v>2013</v>
      </c>
      <c r="D38" s="149"/>
      <c r="E38" s="115">
        <v>55747</v>
      </c>
      <c r="F38" s="145">
        <f>(E38/E37-1)*100</f>
        <v>-1.7362335190050038</v>
      </c>
      <c r="G38" s="148">
        <v>32798</v>
      </c>
      <c r="H38" s="63">
        <f>G38/E38*100</f>
        <v>58.833659210361098</v>
      </c>
      <c r="I38" s="148">
        <v>22949</v>
      </c>
      <c r="J38" s="63">
        <f>I38/E38*100</f>
        <v>41.166340789638909</v>
      </c>
      <c r="K38" s="62">
        <v>31.2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</row>
    <row r="39" spans="1:26" ht="15" x14ac:dyDescent="0.25">
      <c r="C39" s="65">
        <v>2014</v>
      </c>
      <c r="E39" s="115">
        <v>58237.999999999462</v>
      </c>
      <c r="F39" s="145">
        <f>(E39/E38-1)*100</f>
        <v>4.4684018870960962</v>
      </c>
      <c r="G39" s="148">
        <v>33446.999999999614</v>
      </c>
      <c r="H39" s="63">
        <f>G39/E39*100</f>
        <v>57.431573886465749</v>
      </c>
      <c r="I39" s="148">
        <v>24790.999999999847</v>
      </c>
      <c r="J39" s="63">
        <f>I39/E39*100</f>
        <v>42.568426113534251</v>
      </c>
      <c r="K39" s="62">
        <v>32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</row>
    <row r="40" spans="1:26" ht="15" x14ac:dyDescent="0.25">
      <c r="C40" s="65"/>
      <c r="E40" s="115"/>
      <c r="F40" s="145"/>
      <c r="G40" s="148"/>
      <c r="H40" s="63"/>
      <c r="I40" s="148"/>
      <c r="J40" s="63"/>
      <c r="K40" s="6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</row>
    <row r="41" spans="1:26" ht="15" x14ac:dyDescent="0.25">
      <c r="C41" s="65">
        <v>2015</v>
      </c>
      <c r="E41" s="115">
        <v>60413.267018310042</v>
      </c>
      <c r="F41" s="145">
        <f>(E41/E39-1)*100</f>
        <v>3.7351334494841959</v>
      </c>
      <c r="G41" s="148">
        <v>34237.000000000153</v>
      </c>
      <c r="H41" s="63">
        <f t="shared" ref="H41:H48" si="8">G41/E41*100</f>
        <v>56.671326828962265</v>
      </c>
      <c r="I41" s="148">
        <v>26177.2670183093</v>
      </c>
      <c r="J41" s="63">
        <f>I41/E41*100</f>
        <v>43.33032843659241</v>
      </c>
      <c r="K41" s="62">
        <v>33.299999999999997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</row>
    <row r="42" spans="1:26" ht="15" x14ac:dyDescent="0.25">
      <c r="C42" s="65">
        <v>2016</v>
      </c>
      <c r="E42" s="115">
        <v>61361</v>
      </c>
      <c r="F42" s="145">
        <f>(E42/E41-1)*100</f>
        <v>1.568749760549637</v>
      </c>
      <c r="G42" s="148">
        <v>34113</v>
      </c>
      <c r="H42" s="63">
        <f t="shared" si="8"/>
        <v>55.593944036114138</v>
      </c>
      <c r="I42" s="148">
        <v>27248</v>
      </c>
      <c r="J42" s="63">
        <f>I42/E42*100</f>
        <v>44.406055963885855</v>
      </c>
      <c r="K42" s="62">
        <v>31.9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</row>
    <row r="43" spans="1:26" ht="15" x14ac:dyDescent="0.25">
      <c r="C43" s="65">
        <v>2017</v>
      </c>
      <c r="E43" s="115">
        <v>63415</v>
      </c>
      <c r="F43" s="145">
        <f>(E43/E42-1)*100</f>
        <v>3.3474030736135418</v>
      </c>
      <c r="G43" s="148">
        <v>35878</v>
      </c>
      <c r="H43" s="63">
        <f t="shared" si="8"/>
        <v>56.576519750847588</v>
      </c>
      <c r="I43" s="148">
        <f>+E43-G43</f>
        <v>27537</v>
      </c>
      <c r="J43" s="63">
        <f>I43/E43*100</f>
        <v>43.423480249152405</v>
      </c>
      <c r="K43" s="62">
        <v>33.200000000000003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</row>
    <row r="44" spans="1:26" ht="15" x14ac:dyDescent="0.25">
      <c r="C44" s="65">
        <v>2018</v>
      </c>
      <c r="E44" s="115">
        <v>65812.999999997701</v>
      </c>
      <c r="F44" s="145">
        <f>(E44/E43-1)*100</f>
        <v>3.7814397224595231</v>
      </c>
      <c r="G44" s="148">
        <v>36704.999999999854</v>
      </c>
      <c r="H44" s="63">
        <f t="shared" si="8"/>
        <v>55.771656055796171</v>
      </c>
      <c r="I44" s="148">
        <v>29107.999999999101</v>
      </c>
      <c r="J44" s="63">
        <f>I44/E44*100</f>
        <v>44.228343944205733</v>
      </c>
      <c r="K44" s="62">
        <v>33.799999999999997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</row>
    <row r="45" spans="1:26" ht="15" x14ac:dyDescent="0.25">
      <c r="C45" s="65">
        <v>2019</v>
      </c>
      <c r="D45" s="59"/>
      <c r="E45" s="115">
        <v>69913.999999999316</v>
      </c>
      <c r="F45" s="145">
        <f>(E45/E44-1)*100</f>
        <v>6.2312916900942872</v>
      </c>
      <c r="G45" s="148">
        <v>37362.999999998807</v>
      </c>
      <c r="H45" s="63">
        <f t="shared" si="8"/>
        <v>53.441370827014865</v>
      </c>
      <c r="I45" s="148">
        <f>+E45-G45</f>
        <v>32551.000000000509</v>
      </c>
      <c r="J45" s="63">
        <f>I45/E45*100</f>
        <v>46.558629172985135</v>
      </c>
      <c r="K45" s="62">
        <v>30.170871753270546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</row>
    <row r="46" spans="1:26" ht="15" x14ac:dyDescent="0.25">
      <c r="C46" s="65"/>
      <c r="D46" s="59"/>
      <c r="E46" s="115"/>
      <c r="F46" s="145"/>
      <c r="G46" s="148"/>
      <c r="H46" s="63"/>
      <c r="I46" s="148"/>
      <c r="J46" s="63"/>
      <c r="K46" s="6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</row>
    <row r="47" spans="1:26" ht="15" x14ac:dyDescent="0.25">
      <c r="A47" s="143"/>
      <c r="B47" s="143"/>
      <c r="C47" s="143">
        <v>2020</v>
      </c>
      <c r="D47" s="59"/>
      <c r="E47" s="115">
        <v>65786.000000001484</v>
      </c>
      <c r="F47" s="145">
        <f>(E47/E45-1)*100</f>
        <v>-5.9043968303885812</v>
      </c>
      <c r="G47" s="148">
        <v>37815.000000000458</v>
      </c>
      <c r="H47" s="63">
        <f t="shared" si="8"/>
        <v>57.481835040889564</v>
      </c>
      <c r="I47" s="148">
        <v>27970.999999999534</v>
      </c>
      <c r="J47" s="63">
        <v>46.558629172985135</v>
      </c>
      <c r="K47" s="62">
        <v>33.816066995260279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</row>
    <row r="48" spans="1:26" ht="15" x14ac:dyDescent="0.25">
      <c r="A48" s="143"/>
      <c r="B48" s="143"/>
      <c r="C48" s="143" t="s">
        <v>141</v>
      </c>
      <c r="D48" s="59"/>
      <c r="E48" s="115">
        <v>71104.754466642757</v>
      </c>
      <c r="F48" s="145">
        <f>(E48/E47-1)*100</f>
        <v>8.084933673792527</v>
      </c>
      <c r="G48" s="148">
        <v>38046.736516646342</v>
      </c>
      <c r="H48" s="63">
        <f t="shared" si="8"/>
        <v>53.508006323958455</v>
      </c>
      <c r="I48" s="148">
        <v>33058.0179499933</v>
      </c>
      <c r="J48" s="63">
        <f>+I48/E48*100</f>
        <v>46.491993676037154</v>
      </c>
      <c r="K48" s="62">
        <v>31.518197596868259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</row>
    <row r="49" spans="1:26" ht="15" x14ac:dyDescent="0.25">
      <c r="A49" s="143"/>
      <c r="B49" s="143"/>
      <c r="C49" s="143">
        <v>2022</v>
      </c>
      <c r="D49" s="59"/>
      <c r="E49" s="115">
        <v>81546.088299999959</v>
      </c>
      <c r="F49" s="145">
        <f>(E49/E48-1)*100</f>
        <v>14.68443834969646</v>
      </c>
      <c r="G49" s="148">
        <v>38724.000000000124</v>
      </c>
      <c r="H49" s="63">
        <f>G49/E49*100</f>
        <v>47.487256356844945</v>
      </c>
      <c r="I49" s="148">
        <v>42822.088300000185</v>
      </c>
      <c r="J49" s="63">
        <f>+I49/E49*100</f>
        <v>52.512743643155481</v>
      </c>
      <c r="K49" s="62">
        <v>31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</row>
    <row r="50" spans="1:26" ht="15" x14ac:dyDescent="0.25">
      <c r="A50" s="143"/>
      <c r="B50" s="143"/>
      <c r="C50" s="150"/>
      <c r="D50" s="151"/>
      <c r="E50" s="127"/>
      <c r="F50" s="152"/>
      <c r="G50" s="127"/>
      <c r="H50" s="153"/>
      <c r="I50" s="154"/>
      <c r="J50" s="155"/>
      <c r="K50" s="68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</row>
    <row r="51" spans="1:26" ht="15" x14ac:dyDescent="0.25">
      <c r="B51" s="59"/>
      <c r="C51" s="140"/>
      <c r="D51" s="140"/>
      <c r="E51" s="51"/>
      <c r="F51" s="52"/>
      <c r="G51" s="51"/>
      <c r="H51" s="156"/>
      <c r="I51" s="157"/>
      <c r="J51" s="60"/>
      <c r="K51" s="59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</row>
    <row r="52" spans="1:26" ht="15" x14ac:dyDescent="0.25">
      <c r="C52" s="66" t="s">
        <v>31</v>
      </c>
      <c r="D52" s="66"/>
      <c r="K52" s="59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</row>
    <row r="53" spans="1:26" ht="15" x14ac:dyDescent="0.25">
      <c r="B53" s="158" t="s">
        <v>32</v>
      </c>
      <c r="C53" s="46" t="s">
        <v>33</v>
      </c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</row>
    <row r="54" spans="1:26" ht="15" x14ac:dyDescent="0.25">
      <c r="B54" s="159"/>
      <c r="C54" s="46" t="s">
        <v>113</v>
      </c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</row>
    <row r="55" spans="1:26" ht="15" x14ac:dyDescent="0.25">
      <c r="B55" s="159" t="s">
        <v>28</v>
      </c>
      <c r="C55" s="46" t="s">
        <v>34</v>
      </c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</row>
    <row r="56" spans="1:26" ht="15" x14ac:dyDescent="0.25">
      <c r="B56" s="159"/>
      <c r="C56" s="46" t="s">
        <v>35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</row>
    <row r="57" spans="1:26" ht="15" x14ac:dyDescent="0.25">
      <c r="B57" s="159"/>
      <c r="C57" s="46" t="s">
        <v>116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</row>
    <row r="58" spans="1:26" ht="15" x14ac:dyDescent="0.25">
      <c r="B58" s="160" t="s">
        <v>138</v>
      </c>
      <c r="C58" s="46" t="s">
        <v>142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</row>
    <row r="59" spans="1:26" ht="15" x14ac:dyDescent="0.25">
      <c r="C59" s="55" t="s">
        <v>38</v>
      </c>
      <c r="D59" s="67"/>
      <c r="E59" s="67"/>
      <c r="F59" s="67"/>
      <c r="G59" s="67"/>
      <c r="H59" s="67"/>
      <c r="I59" s="67"/>
      <c r="J59" s="67"/>
      <c r="K59" s="59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</row>
    <row r="60" spans="1:26" ht="15" x14ac:dyDescent="0.25"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</row>
    <row r="61" spans="1:26" ht="15" x14ac:dyDescent="0.25"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</row>
    <row r="62" spans="1:26" ht="15" x14ac:dyDescent="0.25"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</row>
    <row r="63" spans="1:26" s="42" customFormat="1" ht="12.75" customHeight="1" x14ac:dyDescent="0.25"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</row>
    <row r="64" spans="1:26" ht="15" x14ac:dyDescent="0.25">
      <c r="B64" s="118"/>
      <c r="C64" s="118"/>
      <c r="D64" s="118"/>
      <c r="E64" s="118"/>
      <c r="F64" s="118"/>
      <c r="G64" s="118"/>
      <c r="H64" s="118"/>
      <c r="I64" s="118"/>
      <c r="J64" s="118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</row>
    <row r="65" spans="14:26" ht="15" x14ac:dyDescent="0.25"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</row>
    <row r="66" spans="14:26" ht="15" x14ac:dyDescent="0.25"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</row>
    <row r="67" spans="14:26" ht="15" x14ac:dyDescent="0.25"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</row>
    <row r="68" spans="14:26" ht="15" x14ac:dyDescent="0.25"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</row>
    <row r="69" spans="14:26" ht="15" x14ac:dyDescent="0.25"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</row>
    <row r="70" spans="14:26" ht="15" x14ac:dyDescent="0.25"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</row>
    <row r="71" spans="14:26" ht="15" x14ac:dyDescent="0.25"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</row>
    <row r="72" spans="14:26" ht="15" x14ac:dyDescent="0.25"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</row>
    <row r="73" spans="14:26" ht="15" x14ac:dyDescent="0.25"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</row>
    <row r="74" spans="14:26" ht="15" x14ac:dyDescent="0.25"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</row>
    <row r="75" spans="14:26" ht="15" x14ac:dyDescent="0.25"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</row>
    <row r="76" spans="14:26" ht="15" x14ac:dyDescent="0.25"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</row>
    <row r="77" spans="14:26" ht="15" x14ac:dyDescent="0.25"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</row>
    <row r="78" spans="14:26" ht="15" x14ac:dyDescent="0.25"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</row>
    <row r="79" spans="14:26" ht="15" x14ac:dyDescent="0.25"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</row>
    <row r="80" spans="14:26" ht="15" x14ac:dyDescent="0.25"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</row>
    <row r="81" spans="14:26" ht="15" x14ac:dyDescent="0.25"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</row>
    <row r="82" spans="14:26" ht="15" x14ac:dyDescent="0.25"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</row>
    <row r="83" spans="14:26" ht="15" x14ac:dyDescent="0.25"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</row>
    <row r="84" spans="14:26" ht="15" x14ac:dyDescent="0.25"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</row>
    <row r="85" spans="14:26" ht="15" x14ac:dyDescent="0.25"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</row>
    <row r="86" spans="14:26" ht="15" x14ac:dyDescent="0.25"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</row>
    <row r="87" spans="14:26" ht="15" x14ac:dyDescent="0.25"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</row>
    <row r="88" spans="14:26" ht="15" x14ac:dyDescent="0.25"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</row>
    <row r="89" spans="14:26" ht="15" x14ac:dyDescent="0.25"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</row>
    <row r="90" spans="14:26" ht="15" x14ac:dyDescent="0.25"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</row>
    <row r="91" spans="14:26" ht="15" x14ac:dyDescent="0.25"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</row>
    <row r="92" spans="14:26" ht="15" x14ac:dyDescent="0.25"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</row>
    <row r="93" spans="14:26" ht="15" x14ac:dyDescent="0.25"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</row>
    <row r="94" spans="14:26" ht="15" x14ac:dyDescent="0.25"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</row>
    <row r="95" spans="14:26" ht="15" x14ac:dyDescent="0.25"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</row>
    <row r="96" spans="14:26" ht="15" x14ac:dyDescent="0.25"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</row>
    <row r="97" spans="14:26" ht="15" x14ac:dyDescent="0.25"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</row>
    <row r="98" spans="14:26" ht="15" x14ac:dyDescent="0.25"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</row>
    <row r="99" spans="14:26" ht="15" x14ac:dyDescent="0.25"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</row>
    <row r="100" spans="14:26" ht="15" x14ac:dyDescent="0.25"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</row>
    <row r="101" spans="14:26" ht="15" x14ac:dyDescent="0.25"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</row>
    <row r="102" spans="14:26" ht="15" x14ac:dyDescent="0.25"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</row>
    <row r="103" spans="14:26" ht="15" x14ac:dyDescent="0.25"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</row>
    <row r="104" spans="14:26" ht="15" x14ac:dyDescent="0.25"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</row>
    <row r="105" spans="14:26" ht="15" x14ac:dyDescent="0.25"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</row>
    <row r="106" spans="14:26" ht="15" x14ac:dyDescent="0.25"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</row>
    <row r="107" spans="14:26" ht="15" x14ac:dyDescent="0.25"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</row>
    <row r="108" spans="14:26" ht="15" x14ac:dyDescent="0.25"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</row>
    <row r="109" spans="14:26" ht="15" x14ac:dyDescent="0.25"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</row>
    <row r="110" spans="14:26" ht="15" x14ac:dyDescent="0.25"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</row>
    <row r="111" spans="14:26" ht="15" x14ac:dyDescent="0.25"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</row>
    <row r="112" spans="14:26" ht="15" x14ac:dyDescent="0.25"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</row>
    <row r="113" spans="14:26" ht="15" x14ac:dyDescent="0.25"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</row>
    <row r="114" spans="14:26" ht="15" x14ac:dyDescent="0.25"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</row>
    <row r="115" spans="14:26" ht="15" x14ac:dyDescent="0.25"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</row>
    <row r="116" spans="14:26" ht="15" x14ac:dyDescent="0.25"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</row>
    <row r="117" spans="14:26" ht="15" x14ac:dyDescent="0.25"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</row>
    <row r="118" spans="14:26" ht="15" x14ac:dyDescent="0.25"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</row>
    <row r="119" spans="14:26" ht="15" x14ac:dyDescent="0.25"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</row>
    <row r="120" spans="14:26" ht="15" x14ac:dyDescent="0.25"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</row>
    <row r="121" spans="14:26" ht="15" x14ac:dyDescent="0.25"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</row>
    <row r="122" spans="14:26" ht="15" x14ac:dyDescent="0.25"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</row>
    <row r="123" spans="14:26" ht="15" x14ac:dyDescent="0.25"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</row>
    <row r="124" spans="14:26" ht="15" x14ac:dyDescent="0.25"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</row>
    <row r="125" spans="14:26" ht="15" x14ac:dyDescent="0.25"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</row>
    <row r="126" spans="14:26" ht="15" x14ac:dyDescent="0.25"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</row>
    <row r="127" spans="14:26" ht="15" x14ac:dyDescent="0.25"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</row>
    <row r="128" spans="14:26" ht="15" x14ac:dyDescent="0.25"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</row>
    <row r="129" spans="14:26" ht="15" x14ac:dyDescent="0.25"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</row>
    <row r="130" spans="14:26" ht="15" x14ac:dyDescent="0.25"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</row>
    <row r="131" spans="14:26" ht="15" x14ac:dyDescent="0.25"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</row>
    <row r="132" spans="14:26" ht="15" x14ac:dyDescent="0.25"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</row>
    <row r="133" spans="14:26" ht="15" x14ac:dyDescent="0.25"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</row>
    <row r="134" spans="14:26" ht="15" x14ac:dyDescent="0.25"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</row>
    <row r="135" spans="14:26" ht="15" x14ac:dyDescent="0.25"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</row>
    <row r="136" spans="14:26" ht="15" x14ac:dyDescent="0.25"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</row>
  </sheetData>
  <mergeCells count="3">
    <mergeCell ref="D7:J7"/>
    <mergeCell ref="G9:H9"/>
    <mergeCell ref="I9:J9"/>
  </mergeCells>
  <pageMargins left="0.7" right="0.7" top="0.75" bottom="0.75" header="0.3" footer="0.3"/>
  <pageSetup scale="79" orientation="portrait" r:id="rId1"/>
  <ignoredErrors>
    <ignoredError sqref="F10" evalError="1"/>
    <ignoredError sqref="C21 C35 C48" numberStoredAsText="1"/>
  </ignoredErrors>
  <drawing r:id="rId2"/>
  <legacyDrawing r:id="rId3"/>
  <oleObjects>
    <mc:AlternateContent xmlns:mc="http://schemas.openxmlformats.org/markup-compatibility/2006">
      <mc:Choice Requires="x14">
        <oleObject progId="MSPhotoEd.3" shapeId="5122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57150</xdr:rowOff>
              </from>
              <to>
                <xdr:col>2</xdr:col>
                <xdr:colOff>133350</xdr:colOff>
                <xdr:row>3</xdr:row>
                <xdr:rowOff>0</xdr:rowOff>
              </to>
            </anchor>
          </objectPr>
        </oleObject>
      </mc:Choice>
      <mc:Fallback>
        <oleObject progId="MSPhotoEd.3" shapeId="5122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V68"/>
  <sheetViews>
    <sheetView zoomScaleNormal="100" zoomScaleSheetLayoutView="100" workbookViewId="0">
      <selection activeCell="L3" sqref="L3"/>
    </sheetView>
  </sheetViews>
  <sheetFormatPr defaultRowHeight="12.75" x14ac:dyDescent="0.2"/>
  <cols>
    <col min="1" max="1" width="9.140625" style="46"/>
    <col min="2" max="2" width="4" style="46" customWidth="1"/>
    <col min="3" max="3" width="9.140625" style="46"/>
    <col min="4" max="4" width="2" style="46" customWidth="1"/>
    <col min="5" max="5" width="12.42578125" style="46" customWidth="1"/>
    <col min="6" max="6" width="10.140625" style="46" customWidth="1"/>
    <col min="7" max="7" width="9.5703125" style="46" customWidth="1"/>
    <col min="8" max="8" width="7.140625" style="46" customWidth="1"/>
    <col min="9" max="9" width="9.28515625" style="46" customWidth="1"/>
    <col min="10" max="10" width="7.5703125" style="46" customWidth="1"/>
    <col min="11" max="11" width="2.7109375" style="46" customWidth="1"/>
    <col min="12" max="12" width="20.140625" style="46" customWidth="1"/>
    <col min="13" max="16384" width="9.140625" style="46"/>
  </cols>
  <sheetData>
    <row r="2" spans="3:13" x14ac:dyDescent="0.2">
      <c r="H2" s="65" t="s">
        <v>323</v>
      </c>
    </row>
    <row r="3" spans="3:13" x14ac:dyDescent="0.2">
      <c r="H3" s="44"/>
      <c r="I3" s="44"/>
      <c r="J3" s="57"/>
      <c r="K3" s="57"/>
      <c r="M3" s="57"/>
    </row>
    <row r="7" spans="3:13" x14ac:dyDescent="0.2">
      <c r="C7" s="58">
        <v>1.04</v>
      </c>
      <c r="D7" s="387" t="s">
        <v>325</v>
      </c>
      <c r="E7" s="387"/>
      <c r="F7" s="387"/>
      <c r="G7" s="387"/>
      <c r="H7" s="387"/>
      <c r="I7" s="387"/>
      <c r="J7" s="387"/>
      <c r="K7" s="117"/>
    </row>
    <row r="8" spans="3:13" x14ac:dyDescent="0.2">
      <c r="C8" s="68"/>
      <c r="D8" s="68"/>
      <c r="E8" s="68"/>
      <c r="F8" s="68"/>
      <c r="G8" s="68"/>
      <c r="H8" s="68"/>
      <c r="I8" s="68"/>
      <c r="J8" s="68"/>
      <c r="K8" s="59"/>
    </row>
    <row r="9" spans="3:13" ht="25.5" x14ac:dyDescent="0.2">
      <c r="C9" s="69" t="s">
        <v>22</v>
      </c>
      <c r="D9" s="70"/>
      <c r="E9" s="70" t="s">
        <v>23</v>
      </c>
      <c r="F9" s="70" t="s">
        <v>24</v>
      </c>
      <c r="G9" s="392" t="s">
        <v>2</v>
      </c>
      <c r="H9" s="392"/>
      <c r="I9" s="392" t="s">
        <v>3</v>
      </c>
      <c r="J9" s="392"/>
      <c r="K9" s="70"/>
      <c r="L9" s="71"/>
    </row>
    <row r="10" spans="3:13" x14ac:dyDescent="0.2">
      <c r="C10" s="161"/>
      <c r="D10" s="161"/>
      <c r="E10" s="161"/>
      <c r="F10" s="161"/>
      <c r="G10" s="161" t="s">
        <v>4</v>
      </c>
      <c r="H10" s="162" t="s">
        <v>5</v>
      </c>
      <c r="I10" s="161" t="s">
        <v>4</v>
      </c>
      <c r="J10" s="161" t="s">
        <v>5</v>
      </c>
      <c r="K10" s="69"/>
      <c r="L10" s="71"/>
    </row>
    <row r="11" spans="3:13" hidden="1" x14ac:dyDescent="0.2">
      <c r="C11" s="140">
        <v>1980</v>
      </c>
      <c r="D11" s="140"/>
      <c r="E11" s="51">
        <f>G11+I11</f>
        <v>17757</v>
      </c>
      <c r="F11" s="52">
        <v>4.3</v>
      </c>
      <c r="G11" s="51">
        <v>13761</v>
      </c>
      <c r="H11" s="163">
        <f>G11/E11*100</f>
        <v>77.496198682209837</v>
      </c>
      <c r="I11" s="51">
        <v>3996</v>
      </c>
      <c r="J11" s="60">
        <f>I11/E11*100</f>
        <v>22.503801317790167</v>
      </c>
      <c r="K11" s="60"/>
      <c r="L11" s="59"/>
    </row>
    <row r="12" spans="3:13" hidden="1" x14ac:dyDescent="0.2">
      <c r="C12" s="140">
        <v>1981</v>
      </c>
      <c r="D12" s="140"/>
      <c r="E12" s="51">
        <f>G12+I12</f>
        <v>18575</v>
      </c>
      <c r="F12" s="52">
        <f t="shared" ref="F12:F24" si="0">(E12/E11-1)*100</f>
        <v>4.606634003491572</v>
      </c>
      <c r="G12" s="51">
        <v>14031</v>
      </c>
      <c r="H12" s="156">
        <f>G12/E12*100</f>
        <v>75.537012113055184</v>
      </c>
      <c r="I12" s="51">
        <v>4544</v>
      </c>
      <c r="J12" s="60">
        <f>I12/E12*100</f>
        <v>24.462987886944816</v>
      </c>
      <c r="K12" s="60"/>
      <c r="L12" s="59"/>
    </row>
    <row r="13" spans="3:13" hidden="1" x14ac:dyDescent="0.2">
      <c r="C13" s="140">
        <v>1982</v>
      </c>
      <c r="D13" s="140"/>
      <c r="E13" s="51">
        <f>G13+I13</f>
        <v>18889</v>
      </c>
      <c r="F13" s="52">
        <f t="shared" si="0"/>
        <v>1.6904441453566621</v>
      </c>
      <c r="G13" s="51">
        <v>14423</v>
      </c>
      <c r="H13" s="156">
        <f>G13/E13*100</f>
        <v>76.356609667001962</v>
      </c>
      <c r="I13" s="51">
        <v>4466</v>
      </c>
      <c r="J13" s="60">
        <f>I13/E13*100</f>
        <v>23.643390332998042</v>
      </c>
      <c r="K13" s="60"/>
      <c r="L13" s="59"/>
    </row>
    <row r="14" spans="3:13" hidden="1" x14ac:dyDescent="0.2">
      <c r="C14" s="140">
        <v>1983</v>
      </c>
      <c r="D14" s="140"/>
      <c r="E14" s="51">
        <f>G14+I14</f>
        <v>19794</v>
      </c>
      <c r="F14" s="52">
        <f t="shared" si="0"/>
        <v>4.7911482873630229</v>
      </c>
      <c r="G14" s="51">
        <v>14885</v>
      </c>
      <c r="H14" s="156">
        <f>G14/E14*100</f>
        <v>75.199555420834599</v>
      </c>
      <c r="I14" s="51">
        <v>4909</v>
      </c>
      <c r="J14" s="60">
        <f>I14/E14*100</f>
        <v>24.800444579165404</v>
      </c>
      <c r="K14" s="60"/>
      <c r="L14" s="59"/>
    </row>
    <row r="15" spans="3:13" hidden="1" x14ac:dyDescent="0.2">
      <c r="C15" s="140">
        <v>1984</v>
      </c>
      <c r="D15" s="140"/>
      <c r="E15" s="51">
        <f>G15+I15</f>
        <v>20540</v>
      </c>
      <c r="F15" s="52">
        <f t="shared" si="0"/>
        <v>3.7688188339900952</v>
      </c>
      <c r="G15" s="51">
        <v>15221</v>
      </c>
      <c r="H15" s="156">
        <f>G15/E15*100</f>
        <v>74.104186952288217</v>
      </c>
      <c r="I15" s="51">
        <v>5319</v>
      </c>
      <c r="J15" s="60">
        <f>I15/E15*100</f>
        <v>25.89581304771178</v>
      </c>
      <c r="K15" s="60"/>
      <c r="L15" s="59"/>
    </row>
    <row r="16" spans="3:13" hidden="1" x14ac:dyDescent="0.2">
      <c r="C16" s="140"/>
      <c r="D16" s="140"/>
      <c r="E16" s="51"/>
      <c r="F16" s="52"/>
      <c r="G16" s="51"/>
      <c r="H16" s="156"/>
      <c r="I16" s="51"/>
      <c r="J16" s="60"/>
      <c r="K16" s="60"/>
      <c r="L16" s="59"/>
    </row>
    <row r="17" spans="2:22" hidden="1" x14ac:dyDescent="0.2">
      <c r="C17" s="140">
        <v>1985</v>
      </c>
      <c r="D17" s="140"/>
      <c r="E17" s="51">
        <f>G17+I17</f>
        <v>21104</v>
      </c>
      <c r="F17" s="52">
        <f>(E17/E15-1)*100</f>
        <v>2.7458617332035029</v>
      </c>
      <c r="G17" s="51">
        <v>15527</v>
      </c>
      <c r="H17" s="164">
        <f>G17/E17*100</f>
        <v>73.573730098559523</v>
      </c>
      <c r="I17" s="51">
        <v>5577</v>
      </c>
      <c r="J17" s="61">
        <f>I17/E17*100</f>
        <v>26.426269901440484</v>
      </c>
      <c r="K17" s="61"/>
      <c r="L17" s="62"/>
    </row>
    <row r="18" spans="2:22" hidden="1" x14ac:dyDescent="0.2">
      <c r="C18" s="140">
        <v>1986</v>
      </c>
      <c r="D18" s="140"/>
      <c r="E18" s="51">
        <f>G18+I18</f>
        <v>21545</v>
      </c>
      <c r="F18" s="52">
        <f t="shared" si="0"/>
        <v>2.0896512509476883</v>
      </c>
      <c r="G18" s="51">
        <v>15876</v>
      </c>
      <c r="H18" s="164">
        <f>G18/E18*100</f>
        <v>73.687630540728705</v>
      </c>
      <c r="I18" s="51">
        <v>5669</v>
      </c>
      <c r="J18" s="61">
        <f>I18/E18*100</f>
        <v>26.312369459271295</v>
      </c>
      <c r="K18" s="61"/>
      <c r="L18" s="62"/>
    </row>
    <row r="19" spans="2:22" hidden="1" x14ac:dyDescent="0.2">
      <c r="C19" s="140">
        <v>1987</v>
      </c>
      <c r="D19" s="140"/>
      <c r="E19" s="51">
        <f>G19+I19</f>
        <v>22986</v>
      </c>
      <c r="F19" s="52">
        <f t="shared" si="0"/>
        <v>6.6883267579484817</v>
      </c>
      <c r="G19" s="51">
        <v>16289</v>
      </c>
      <c r="H19" s="164">
        <f>G19/E19*100</f>
        <v>70.864874271295577</v>
      </c>
      <c r="I19" s="51">
        <v>6697</v>
      </c>
      <c r="J19" s="61">
        <f>I19/E19*100</f>
        <v>29.135125728704431</v>
      </c>
      <c r="K19" s="61"/>
      <c r="L19" s="62"/>
    </row>
    <row r="20" spans="2:22" hidden="1" x14ac:dyDescent="0.2">
      <c r="C20" s="140">
        <v>1988</v>
      </c>
      <c r="D20" s="140"/>
      <c r="E20" s="51">
        <f>G20+I20</f>
        <v>24353</v>
      </c>
      <c r="F20" s="52">
        <f t="shared" si="0"/>
        <v>5.9470982337074707</v>
      </c>
      <c r="G20" s="51">
        <v>16700</v>
      </c>
      <c r="H20" s="164">
        <f>G20/E20*100</f>
        <v>68.574713587648333</v>
      </c>
      <c r="I20" s="51">
        <v>7653</v>
      </c>
      <c r="J20" s="61">
        <f>I20/E20*100</f>
        <v>31.42528641235166</v>
      </c>
      <c r="K20" s="61"/>
      <c r="L20" s="62"/>
    </row>
    <row r="21" spans="2:22" hidden="1" x14ac:dyDescent="0.2">
      <c r="C21" s="140">
        <v>1989</v>
      </c>
      <c r="D21" s="140"/>
      <c r="E21" s="51">
        <f>G21+I21</f>
        <v>25695</v>
      </c>
      <c r="F21" s="52">
        <f t="shared" si="0"/>
        <v>5.510614708660122</v>
      </c>
      <c r="G21" s="51">
        <v>17118</v>
      </c>
      <c r="H21" s="164">
        <f>G21/E21*100</f>
        <v>66.619964973730291</v>
      </c>
      <c r="I21" s="51">
        <v>8577</v>
      </c>
      <c r="J21" s="61">
        <f>I21/E21*100</f>
        <v>33.380035026269702</v>
      </c>
      <c r="K21" s="61"/>
      <c r="L21" s="62"/>
    </row>
    <row r="22" spans="2:22" ht="15" x14ac:dyDescent="0.25">
      <c r="C22" s="140"/>
      <c r="D22" s="140"/>
      <c r="E22" s="51"/>
      <c r="F22" s="52"/>
      <c r="G22" s="51"/>
      <c r="H22" s="164"/>
      <c r="I22" s="51"/>
      <c r="J22" s="61"/>
      <c r="K22" s="61"/>
      <c r="L22" s="62"/>
      <c r="M22" s="42"/>
      <c r="N22" s="42"/>
      <c r="O22" s="42"/>
      <c r="P22" s="42"/>
    </row>
    <row r="23" spans="2:22" ht="15" x14ac:dyDescent="0.25">
      <c r="B23" s="64"/>
      <c r="C23" s="165">
        <v>2005</v>
      </c>
      <c r="D23" s="144" t="s">
        <v>27</v>
      </c>
      <c r="E23" s="115">
        <f>+G23+I23</f>
        <v>52465</v>
      </c>
      <c r="F23" s="63"/>
      <c r="G23" s="115">
        <v>26357</v>
      </c>
      <c r="H23" s="63">
        <f t="shared" ref="H23:H30" si="1">G23/E23*100</f>
        <v>50.237301057848093</v>
      </c>
      <c r="I23" s="115">
        <v>26108</v>
      </c>
      <c r="J23" s="141">
        <f t="shared" ref="J23:J30" si="2">I23/E23*100</f>
        <v>49.762698942151914</v>
      </c>
      <c r="K23" s="63"/>
      <c r="L23" s="62"/>
      <c r="M23" s="42"/>
      <c r="N23" s="42"/>
      <c r="O23" s="42"/>
      <c r="P23" s="42"/>
    </row>
    <row r="24" spans="2:22" ht="15" x14ac:dyDescent="0.25">
      <c r="B24" s="64"/>
      <c r="C24" s="165">
        <v>2006</v>
      </c>
      <c r="D24" s="146"/>
      <c r="E24" s="115">
        <f>+G24+I24</f>
        <v>51992</v>
      </c>
      <c r="F24" s="145">
        <f t="shared" si="0"/>
        <v>-0.90155341656342758</v>
      </c>
      <c r="G24" s="115">
        <v>26340</v>
      </c>
      <c r="H24" s="63">
        <f t="shared" si="1"/>
        <v>50.661640252346515</v>
      </c>
      <c r="I24" s="115">
        <v>25652</v>
      </c>
      <c r="J24" s="141">
        <f t="shared" si="2"/>
        <v>49.338359747653485</v>
      </c>
      <c r="K24" s="63"/>
      <c r="L24" s="62"/>
      <c r="M24" s="42"/>
      <c r="N24" s="42"/>
      <c r="O24" s="42"/>
      <c r="P24" s="42"/>
      <c r="Q24" s="42"/>
      <c r="R24" s="42"/>
      <c r="S24" s="42"/>
      <c r="T24" s="42"/>
      <c r="U24" s="42"/>
      <c r="V24" s="42"/>
    </row>
    <row r="25" spans="2:22" ht="15" x14ac:dyDescent="0.25">
      <c r="B25" s="64"/>
      <c r="C25" s="165">
        <v>2007</v>
      </c>
      <c r="D25" s="146"/>
      <c r="E25" s="115">
        <f t="shared" ref="E25:E30" si="3">+G25+I25</f>
        <v>53886</v>
      </c>
      <c r="F25" s="63">
        <f t="shared" ref="F25:F30" si="4">(E25/E24-1)*100</f>
        <v>3.6428681335590074</v>
      </c>
      <c r="G25" s="115">
        <v>26773</v>
      </c>
      <c r="H25" s="63">
        <f t="shared" si="1"/>
        <v>49.68451917009984</v>
      </c>
      <c r="I25" s="115">
        <v>27113</v>
      </c>
      <c r="J25" s="141">
        <f t="shared" si="2"/>
        <v>50.31548082990016</v>
      </c>
      <c r="K25" s="63"/>
      <c r="L25" s="62"/>
      <c r="M25" s="42"/>
      <c r="N25" s="42"/>
      <c r="O25" s="42"/>
      <c r="P25" s="42"/>
      <c r="Q25" s="42"/>
      <c r="R25" s="42"/>
      <c r="S25" s="42"/>
      <c r="T25" s="42"/>
      <c r="U25" s="42"/>
      <c r="V25" s="42"/>
    </row>
    <row r="26" spans="2:22" ht="15" x14ac:dyDescent="0.25">
      <c r="C26" s="165">
        <v>2008</v>
      </c>
      <c r="D26" s="59"/>
      <c r="E26" s="115">
        <f t="shared" si="3"/>
        <v>57009</v>
      </c>
      <c r="F26" s="63">
        <f t="shared" si="4"/>
        <v>5.7955684222247061</v>
      </c>
      <c r="G26" s="115">
        <v>28264</v>
      </c>
      <c r="H26" s="63">
        <f t="shared" si="1"/>
        <v>49.578136785419844</v>
      </c>
      <c r="I26" s="115">
        <v>28745</v>
      </c>
      <c r="J26" s="141">
        <f t="shared" si="2"/>
        <v>50.421863214580156</v>
      </c>
      <c r="K26" s="63"/>
      <c r="L26" s="62"/>
      <c r="M26" s="42"/>
      <c r="N26" s="42"/>
      <c r="O26" s="42"/>
      <c r="P26" s="42"/>
      <c r="Q26" s="42"/>
      <c r="R26" s="42"/>
      <c r="S26" s="42"/>
      <c r="T26" s="42"/>
      <c r="U26" s="42"/>
      <c r="V26" s="42"/>
    </row>
    <row r="27" spans="2:22" ht="15" x14ac:dyDescent="0.25">
      <c r="C27" s="165">
        <v>2009</v>
      </c>
      <c r="D27" s="147"/>
      <c r="E27" s="115">
        <f t="shared" si="3"/>
        <v>56005</v>
      </c>
      <c r="F27" s="145">
        <f t="shared" si="4"/>
        <v>-1.7611254363346096</v>
      </c>
      <c r="G27" s="115">
        <v>27840</v>
      </c>
      <c r="H27" s="63">
        <f t="shared" si="1"/>
        <v>49.709847335059372</v>
      </c>
      <c r="I27" s="115">
        <v>28165</v>
      </c>
      <c r="J27" s="141">
        <f t="shared" si="2"/>
        <v>50.290152664940635</v>
      </c>
      <c r="K27" s="63"/>
      <c r="L27" s="59"/>
      <c r="M27" s="49"/>
      <c r="N27" s="49"/>
      <c r="O27" s="49"/>
      <c r="P27" s="49"/>
      <c r="Q27" s="49"/>
      <c r="R27" s="49"/>
      <c r="S27" s="42"/>
      <c r="T27" s="42"/>
      <c r="U27" s="42"/>
      <c r="V27" s="42"/>
    </row>
    <row r="28" spans="2:22" ht="15" x14ac:dyDescent="0.25">
      <c r="C28" s="165"/>
      <c r="D28" s="147"/>
      <c r="E28" s="115"/>
      <c r="F28" s="145"/>
      <c r="G28" s="115"/>
      <c r="H28" s="63"/>
      <c r="I28" s="115"/>
      <c r="J28" s="141"/>
      <c r="K28" s="63"/>
      <c r="L28" s="59"/>
      <c r="M28" s="49"/>
      <c r="N28" s="49"/>
      <c r="O28" s="49"/>
      <c r="P28" s="49"/>
      <c r="Q28" s="49"/>
      <c r="R28" s="49"/>
      <c r="S28" s="42"/>
      <c r="T28" s="42"/>
      <c r="U28" s="42"/>
      <c r="V28" s="42"/>
    </row>
    <row r="29" spans="2:22" ht="15" x14ac:dyDescent="0.25">
      <c r="C29" s="166" t="s">
        <v>140</v>
      </c>
      <c r="D29" s="59"/>
      <c r="E29" s="115">
        <f t="shared" si="3"/>
        <v>55036</v>
      </c>
      <c r="F29" s="145">
        <f>(E29/E27-1)*100</f>
        <v>-1.7302026604767429</v>
      </c>
      <c r="G29" s="148">
        <v>27219</v>
      </c>
      <c r="H29" s="63">
        <f t="shared" si="1"/>
        <v>49.456719238316737</v>
      </c>
      <c r="I29" s="148">
        <v>27817</v>
      </c>
      <c r="J29" s="141">
        <f t="shared" si="2"/>
        <v>50.543280761683263</v>
      </c>
      <c r="K29" s="63"/>
      <c r="L29" s="59"/>
      <c r="M29" s="42"/>
      <c r="N29" s="42"/>
      <c r="O29" s="42"/>
      <c r="P29" s="42"/>
      <c r="Q29" s="42"/>
      <c r="R29" s="42"/>
      <c r="S29" s="42"/>
      <c r="T29" s="42"/>
      <c r="U29" s="42"/>
      <c r="V29" s="42"/>
    </row>
    <row r="30" spans="2:22" ht="15" x14ac:dyDescent="0.25">
      <c r="C30" s="165">
        <v>2011</v>
      </c>
      <c r="D30" s="59"/>
      <c r="E30" s="115">
        <f t="shared" si="3"/>
        <v>55517</v>
      </c>
      <c r="F30" s="145">
        <f t="shared" si="4"/>
        <v>0.87397339922958839</v>
      </c>
      <c r="G30" s="148">
        <v>27454</v>
      </c>
      <c r="H30" s="63">
        <f t="shared" si="1"/>
        <v>49.45151935443198</v>
      </c>
      <c r="I30" s="148">
        <v>28063</v>
      </c>
      <c r="J30" s="141">
        <f t="shared" si="2"/>
        <v>50.548480645568027</v>
      </c>
      <c r="K30" s="61"/>
      <c r="L30" s="59"/>
      <c r="M30" s="42"/>
      <c r="N30" s="42"/>
      <c r="O30" s="42"/>
      <c r="P30" s="42"/>
      <c r="Q30" s="42"/>
      <c r="R30" s="42"/>
      <c r="S30" s="42"/>
      <c r="T30" s="42"/>
      <c r="U30" s="42"/>
      <c r="V30" s="42"/>
    </row>
    <row r="31" spans="2:22" ht="15" x14ac:dyDescent="0.25">
      <c r="C31" s="165">
        <v>2012</v>
      </c>
      <c r="D31" s="59"/>
      <c r="E31" s="115">
        <v>56732</v>
      </c>
      <c r="F31" s="145">
        <f>(E31/E30-1)*100</f>
        <v>2.1885188320694526</v>
      </c>
      <c r="G31" s="148">
        <v>27752.809461667439</v>
      </c>
      <c r="H31" s="63">
        <f>G31/E31*100</f>
        <v>48.919145211992245</v>
      </c>
      <c r="I31" s="148">
        <v>28979.190538332532</v>
      </c>
      <c r="J31" s="141">
        <f>I31/E31*100</f>
        <v>51.080854788007699</v>
      </c>
      <c r="K31" s="61"/>
      <c r="L31" s="59"/>
      <c r="M31" s="42"/>
      <c r="N31" s="42"/>
      <c r="O31" s="42"/>
      <c r="P31" s="42"/>
      <c r="Q31" s="42"/>
      <c r="R31" s="42"/>
      <c r="S31" s="42"/>
      <c r="T31" s="42"/>
      <c r="U31" s="42"/>
      <c r="V31" s="42"/>
    </row>
    <row r="32" spans="2:22" ht="15" x14ac:dyDescent="0.25">
      <c r="C32" s="165">
        <v>2013</v>
      </c>
      <c r="D32" s="167"/>
      <c r="E32" s="115">
        <v>55747</v>
      </c>
      <c r="F32" s="145">
        <f>(E32/E31-1)*100</f>
        <v>-1.7362335190016176</v>
      </c>
      <c r="G32" s="148">
        <v>27133</v>
      </c>
      <c r="H32" s="63">
        <f>G32/E32*100</f>
        <v>48.671677399680704</v>
      </c>
      <c r="I32" s="148">
        <v>28614</v>
      </c>
      <c r="J32" s="141">
        <f>I32/E32*100</f>
        <v>51.328322600319296</v>
      </c>
      <c r="K32" s="61"/>
      <c r="L32" s="59"/>
      <c r="M32" s="42"/>
      <c r="N32" s="42"/>
      <c r="O32" s="42"/>
      <c r="P32" s="42"/>
      <c r="Q32" s="42"/>
      <c r="R32" s="42"/>
      <c r="S32" s="42"/>
      <c r="T32" s="42"/>
      <c r="U32" s="42"/>
      <c r="V32" s="42"/>
    </row>
    <row r="33" spans="2:22" ht="15" x14ac:dyDescent="0.25">
      <c r="C33" s="165">
        <v>2014</v>
      </c>
      <c r="D33" s="59"/>
      <c r="E33" s="115">
        <v>58237.999999999432</v>
      </c>
      <c r="F33" s="145">
        <f>(E33/E32-1)*100</f>
        <v>4.4684018870960518</v>
      </c>
      <c r="G33" s="148">
        <v>28321.962199237521</v>
      </c>
      <c r="H33" s="63">
        <f>G33/E33*100</f>
        <v>48.631412821933786</v>
      </c>
      <c r="I33" s="148">
        <v>29916.037800761907</v>
      </c>
      <c r="J33" s="141">
        <f>I33/E33*100</f>
        <v>51.368587178066207</v>
      </c>
      <c r="K33" s="61"/>
      <c r="L33" s="59"/>
      <c r="M33" s="42"/>
      <c r="N33" s="42"/>
      <c r="O33" s="42"/>
      <c r="P33" s="42"/>
      <c r="Q33" s="42"/>
      <c r="R33" s="42"/>
      <c r="S33" s="42"/>
      <c r="T33" s="42"/>
      <c r="U33" s="42"/>
      <c r="V33" s="42"/>
    </row>
    <row r="34" spans="2:22" ht="15" x14ac:dyDescent="0.25">
      <c r="C34" s="165"/>
      <c r="D34" s="59"/>
      <c r="E34" s="115"/>
      <c r="F34" s="145"/>
      <c r="G34" s="148"/>
      <c r="H34" s="63"/>
      <c r="I34" s="148"/>
      <c r="J34" s="141"/>
      <c r="K34" s="61"/>
      <c r="L34" s="59"/>
      <c r="M34" s="42"/>
      <c r="N34" s="42"/>
      <c r="O34" s="42"/>
      <c r="P34" s="42"/>
      <c r="Q34" s="42"/>
      <c r="R34" s="42"/>
      <c r="S34" s="42"/>
      <c r="T34" s="42"/>
      <c r="U34" s="42"/>
      <c r="V34" s="42"/>
    </row>
    <row r="35" spans="2:22" ht="15" x14ac:dyDescent="0.25">
      <c r="C35" s="165">
        <v>2015</v>
      </c>
      <c r="D35" s="59"/>
      <c r="E35" s="115">
        <v>60413.267018310042</v>
      </c>
      <c r="F35" s="145">
        <f>(E35/E33-1)*100</f>
        <v>3.7351334494842403</v>
      </c>
      <c r="G35" s="148">
        <v>30264.291292983416</v>
      </c>
      <c r="H35" s="63">
        <f t="shared" ref="H35:H41" si="5">G35/E35*100</f>
        <v>50.095438943586544</v>
      </c>
      <c r="I35" s="148">
        <v>30148.975725326047</v>
      </c>
      <c r="J35" s="141">
        <f t="shared" ref="J35:J43" si="6">I35/E35*100</f>
        <v>49.904561056412497</v>
      </c>
      <c r="K35" s="61"/>
      <c r="L35" s="59"/>
      <c r="M35" s="42"/>
      <c r="N35" s="42"/>
      <c r="O35" s="42"/>
      <c r="P35" s="42"/>
      <c r="Q35" s="42"/>
      <c r="R35" s="42"/>
      <c r="S35" s="42"/>
      <c r="T35" s="42"/>
      <c r="U35" s="42"/>
      <c r="V35" s="42"/>
    </row>
    <row r="36" spans="2:22" ht="15" x14ac:dyDescent="0.25">
      <c r="C36" s="165">
        <v>2016</v>
      </c>
      <c r="D36" s="59"/>
      <c r="E36" s="115">
        <v>61361</v>
      </c>
      <c r="F36" s="145">
        <f>(E36/E35-1)*100</f>
        <v>1.568749760549637</v>
      </c>
      <c r="G36" s="148">
        <v>29422</v>
      </c>
      <c r="H36" s="63">
        <f t="shared" si="5"/>
        <v>47.949022995062016</v>
      </c>
      <c r="I36" s="148">
        <v>31939</v>
      </c>
      <c r="J36" s="141">
        <f t="shared" si="6"/>
        <v>52.050977004937991</v>
      </c>
      <c r="K36" s="61"/>
      <c r="L36" s="59"/>
      <c r="M36" s="42"/>
      <c r="N36" s="42"/>
      <c r="O36" s="42"/>
      <c r="P36" s="42"/>
      <c r="Q36" s="42"/>
      <c r="R36" s="42"/>
      <c r="S36" s="42"/>
      <c r="T36" s="42"/>
      <c r="U36" s="42"/>
      <c r="V36" s="42"/>
    </row>
    <row r="37" spans="2:22" ht="15" x14ac:dyDescent="0.25">
      <c r="C37" s="165">
        <v>2017</v>
      </c>
      <c r="D37" s="59"/>
      <c r="E37" s="115">
        <v>63415</v>
      </c>
      <c r="F37" s="145">
        <f>(E37/E36-1)*100</f>
        <v>3.3474030736135418</v>
      </c>
      <c r="G37" s="148">
        <v>32212</v>
      </c>
      <c r="H37" s="63">
        <f t="shared" si="5"/>
        <v>50.795553102578253</v>
      </c>
      <c r="I37" s="148">
        <v>31203</v>
      </c>
      <c r="J37" s="141">
        <f t="shared" si="6"/>
        <v>49.204446897421747</v>
      </c>
      <c r="K37" s="61"/>
      <c r="L37" s="59"/>
      <c r="M37" s="42"/>
      <c r="N37" s="42"/>
      <c r="O37" s="42"/>
      <c r="P37" s="42"/>
      <c r="Q37" s="42"/>
      <c r="R37" s="42"/>
      <c r="S37" s="42"/>
      <c r="T37" s="42"/>
      <c r="U37" s="42"/>
      <c r="V37" s="42"/>
    </row>
    <row r="38" spans="2:22" ht="15" x14ac:dyDescent="0.25">
      <c r="C38" s="165">
        <v>2018</v>
      </c>
      <c r="D38" s="59"/>
      <c r="E38" s="115">
        <v>65812.999999997701</v>
      </c>
      <c r="F38" s="145">
        <f>(E38/E37-1)*100</f>
        <v>3.7814397224595231</v>
      </c>
      <c r="G38" s="148">
        <v>31874.735262941475</v>
      </c>
      <c r="H38" s="63">
        <f t="shared" si="5"/>
        <v>48.43227821698234</v>
      </c>
      <c r="I38" s="148">
        <v>33938.264737058293</v>
      </c>
      <c r="J38" s="141">
        <f t="shared" si="6"/>
        <v>51.567721783020801</v>
      </c>
      <c r="K38" s="61"/>
      <c r="L38" s="59"/>
      <c r="M38" s="42"/>
      <c r="N38" s="42"/>
      <c r="O38" s="42"/>
      <c r="P38" s="42"/>
      <c r="Q38" s="42"/>
      <c r="R38" s="42"/>
      <c r="S38" s="42"/>
      <c r="T38" s="42"/>
      <c r="U38" s="42"/>
      <c r="V38" s="42"/>
    </row>
    <row r="39" spans="2:22" ht="15" x14ac:dyDescent="0.25">
      <c r="C39" s="165">
        <v>2019</v>
      </c>
      <c r="D39" s="59"/>
      <c r="E39" s="115">
        <v>69913.999999999316</v>
      </c>
      <c r="F39" s="145">
        <f>(E39/E38-1)*100</f>
        <v>6.2312916900942872</v>
      </c>
      <c r="G39" s="148">
        <v>34539.06059562444</v>
      </c>
      <c r="H39" s="63">
        <f t="shared" si="5"/>
        <v>49.402209279435851</v>
      </c>
      <c r="I39" s="148">
        <v>35374.939404374898</v>
      </c>
      <c r="J39" s="141">
        <f t="shared" si="6"/>
        <v>50.597790720564184</v>
      </c>
      <c r="K39" s="61"/>
      <c r="L39" s="59"/>
      <c r="M39" s="42"/>
      <c r="N39" s="42"/>
      <c r="O39" s="42"/>
      <c r="P39" s="42"/>
      <c r="Q39" s="42"/>
      <c r="R39" s="42"/>
      <c r="S39" s="42"/>
      <c r="T39" s="42"/>
      <c r="U39" s="42"/>
      <c r="V39" s="42"/>
    </row>
    <row r="40" spans="2:22" ht="15" x14ac:dyDescent="0.25">
      <c r="C40" s="165"/>
      <c r="D40" s="59"/>
      <c r="E40" s="115"/>
      <c r="F40" s="145"/>
      <c r="G40" s="148"/>
      <c r="H40" s="63"/>
      <c r="I40" s="148"/>
      <c r="J40" s="141"/>
      <c r="K40" s="61"/>
      <c r="L40" s="59"/>
      <c r="M40" s="42"/>
      <c r="N40" s="42"/>
      <c r="O40" s="42"/>
      <c r="P40" s="42"/>
      <c r="Q40" s="42"/>
      <c r="R40" s="42"/>
      <c r="S40" s="42"/>
      <c r="T40" s="42"/>
      <c r="U40" s="42"/>
      <c r="V40" s="42"/>
    </row>
    <row r="41" spans="2:22" ht="15" x14ac:dyDescent="0.25">
      <c r="C41" s="165">
        <v>2020</v>
      </c>
      <c r="D41" s="59"/>
      <c r="E41" s="115">
        <v>65786.000000001484</v>
      </c>
      <c r="F41" s="145">
        <f>(E41/E39-1)*100</f>
        <v>-5.9043968303885812</v>
      </c>
      <c r="G41" s="148">
        <v>32842.190219319964</v>
      </c>
      <c r="H41" s="63">
        <f t="shared" si="5"/>
        <v>49.922765055360138</v>
      </c>
      <c r="I41" s="148">
        <v>32943.809780680116</v>
      </c>
      <c r="J41" s="141">
        <f t="shared" si="6"/>
        <v>50.077234944637731</v>
      </c>
      <c r="K41" s="61"/>
      <c r="L41" s="59"/>
      <c r="M41" s="42"/>
      <c r="N41" s="42"/>
      <c r="O41" s="42"/>
      <c r="P41" s="42"/>
      <c r="Q41" s="42"/>
      <c r="R41" s="42"/>
      <c r="S41" s="42"/>
      <c r="T41" s="42"/>
      <c r="U41" s="42"/>
      <c r="V41" s="42"/>
    </row>
    <row r="42" spans="2:22" ht="15" x14ac:dyDescent="0.25">
      <c r="C42" s="166" t="s">
        <v>141</v>
      </c>
      <c r="D42" s="59"/>
      <c r="E42" s="115">
        <v>71104.754466642757</v>
      </c>
      <c r="F42" s="145">
        <f>(E42/E41-1)*100</f>
        <v>8.084933673792527</v>
      </c>
      <c r="G42" s="148">
        <v>35983.662691785474</v>
      </c>
      <c r="H42" s="63">
        <f>G42/E42*100</f>
        <v>50.606549395605363</v>
      </c>
      <c r="I42" s="148">
        <v>33058</v>
      </c>
      <c r="J42" s="141">
        <f t="shared" si="6"/>
        <v>46.491968431602473</v>
      </c>
      <c r="K42" s="61"/>
      <c r="L42" s="59"/>
      <c r="M42" s="42"/>
      <c r="N42" s="42"/>
      <c r="O42" s="42"/>
      <c r="P42" s="42"/>
      <c r="Q42" s="42"/>
      <c r="R42" s="42"/>
      <c r="S42" s="42"/>
      <c r="T42" s="42"/>
      <c r="U42" s="42"/>
      <c r="V42" s="42"/>
    </row>
    <row r="43" spans="2:22" ht="15" x14ac:dyDescent="0.25">
      <c r="C43" s="166">
        <v>2022</v>
      </c>
      <c r="D43" s="59"/>
      <c r="E43" s="115">
        <v>81546.088299999959</v>
      </c>
      <c r="F43" s="145">
        <f>(E43/E42-1)*100</f>
        <v>14.68443834969646</v>
      </c>
      <c r="G43" s="148">
        <v>41342</v>
      </c>
      <c r="H43" s="63">
        <f>G43/E43*100</f>
        <v>50.697710781548331</v>
      </c>
      <c r="I43" s="148">
        <v>40204</v>
      </c>
      <c r="J43" s="141">
        <f t="shared" si="6"/>
        <v>49.302180936127158</v>
      </c>
      <c r="K43" s="61"/>
      <c r="L43" s="59"/>
      <c r="M43" s="42"/>
      <c r="N43" s="42"/>
      <c r="O43" s="42"/>
      <c r="P43" s="42"/>
      <c r="Q43" s="42"/>
      <c r="R43" s="42"/>
      <c r="S43" s="42"/>
      <c r="T43" s="42"/>
      <c r="U43" s="42"/>
      <c r="V43" s="42"/>
    </row>
    <row r="44" spans="2:22" ht="15" x14ac:dyDescent="0.25">
      <c r="C44" s="168"/>
      <c r="D44" s="68"/>
      <c r="E44" s="169"/>
      <c r="F44" s="170"/>
      <c r="G44" s="171"/>
      <c r="H44" s="172"/>
      <c r="I44" s="171"/>
      <c r="J44" s="173"/>
      <c r="K44" s="61"/>
      <c r="L44" s="59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2" ht="15" x14ac:dyDescent="0.25">
      <c r="C45" s="55" t="s">
        <v>38</v>
      </c>
      <c r="D45" s="67"/>
      <c r="E45" s="67"/>
      <c r="F45" s="67"/>
      <c r="G45" s="67"/>
      <c r="H45" s="67"/>
      <c r="I45" s="67"/>
      <c r="J45" s="67"/>
      <c r="K45" s="67"/>
      <c r="L45" s="59"/>
      <c r="O45" s="42"/>
      <c r="P45" s="42"/>
      <c r="Q45" s="42"/>
      <c r="R45" s="42"/>
      <c r="S45" s="42"/>
      <c r="T45" s="42"/>
      <c r="U45" s="42"/>
      <c r="V45" s="42"/>
    </row>
    <row r="46" spans="2:22" x14ac:dyDescent="0.2">
      <c r="C46" s="55"/>
      <c r="D46" s="67"/>
      <c r="E46" s="67"/>
      <c r="F46" s="67"/>
      <c r="G46" s="67"/>
      <c r="H46" s="67"/>
      <c r="I46" s="67"/>
      <c r="J46" s="67"/>
      <c r="K46" s="67"/>
      <c r="L46" s="59"/>
    </row>
    <row r="47" spans="2:22" x14ac:dyDescent="0.2">
      <c r="C47" s="66" t="s">
        <v>41</v>
      </c>
      <c r="D47" s="67"/>
      <c r="E47" s="67"/>
      <c r="F47" s="67"/>
      <c r="G47" s="67"/>
      <c r="H47" s="67"/>
      <c r="I47" s="67"/>
      <c r="J47" s="67"/>
      <c r="K47" s="67"/>
      <c r="L47" s="59"/>
    </row>
    <row r="48" spans="2:22" ht="14.25" x14ac:dyDescent="0.2">
      <c r="B48" s="160" t="s">
        <v>138</v>
      </c>
      <c r="C48" s="46" t="s">
        <v>142</v>
      </c>
      <c r="G48" s="67"/>
      <c r="H48" s="67"/>
      <c r="I48" s="67"/>
      <c r="J48" s="67"/>
      <c r="K48" s="67"/>
      <c r="L48" s="59"/>
    </row>
    <row r="49" spans="3:12" x14ac:dyDescent="0.2">
      <c r="C49" s="55"/>
      <c r="D49" s="67"/>
      <c r="E49" s="67"/>
      <c r="F49" s="67"/>
      <c r="G49" s="67"/>
      <c r="H49" s="67"/>
      <c r="I49" s="67"/>
      <c r="J49" s="67"/>
      <c r="K49" s="67"/>
      <c r="L49" s="59"/>
    </row>
    <row r="50" spans="3:12" x14ac:dyDescent="0.2">
      <c r="C50" s="55"/>
      <c r="D50" s="67"/>
      <c r="E50" s="67"/>
      <c r="F50" s="67"/>
      <c r="G50" s="67"/>
      <c r="H50" s="67"/>
      <c r="I50" s="67"/>
      <c r="J50" s="67"/>
      <c r="K50" s="67"/>
      <c r="L50" s="59"/>
    </row>
    <row r="51" spans="3:12" x14ac:dyDescent="0.2">
      <c r="C51" s="55"/>
      <c r="D51" s="67"/>
      <c r="E51" s="67"/>
      <c r="F51" s="67"/>
      <c r="G51" s="67"/>
      <c r="H51" s="67"/>
      <c r="I51" s="67"/>
      <c r="J51" s="67"/>
      <c r="K51" s="67"/>
      <c r="L51" s="59"/>
    </row>
    <row r="52" spans="3:12" x14ac:dyDescent="0.2">
      <c r="C52" s="55"/>
      <c r="D52" s="67"/>
      <c r="E52" s="67"/>
      <c r="F52" s="67"/>
      <c r="G52" s="67"/>
      <c r="H52" s="67"/>
      <c r="I52" s="67"/>
      <c r="J52" s="67"/>
      <c r="K52" s="67"/>
      <c r="L52" s="59"/>
    </row>
    <row r="53" spans="3:12" x14ac:dyDescent="0.2">
      <c r="C53" s="55"/>
      <c r="D53" s="67"/>
      <c r="E53" s="67"/>
      <c r="F53" s="67"/>
      <c r="G53" s="67"/>
      <c r="H53" s="67"/>
      <c r="I53" s="67"/>
      <c r="J53" s="67"/>
      <c r="K53" s="67"/>
      <c r="L53" s="59"/>
    </row>
    <row r="54" spans="3:12" x14ac:dyDescent="0.2">
      <c r="C54" s="55"/>
      <c r="D54" s="67"/>
      <c r="E54" s="67"/>
      <c r="F54" s="67"/>
      <c r="G54" s="67"/>
      <c r="H54" s="67"/>
      <c r="I54" s="67"/>
      <c r="J54" s="67"/>
      <c r="K54" s="67"/>
      <c r="L54" s="59"/>
    </row>
    <row r="55" spans="3:12" x14ac:dyDescent="0.2">
      <c r="C55" s="55"/>
      <c r="D55" s="67"/>
      <c r="E55" s="67"/>
      <c r="F55" s="67"/>
      <c r="G55" s="67"/>
      <c r="H55" s="67"/>
      <c r="I55" s="67"/>
      <c r="J55" s="67"/>
      <c r="K55" s="67"/>
      <c r="L55" s="59"/>
    </row>
    <row r="56" spans="3:12" x14ac:dyDescent="0.2">
      <c r="C56" s="55"/>
      <c r="D56" s="67"/>
      <c r="E56" s="67"/>
      <c r="F56" s="67"/>
      <c r="G56" s="67"/>
      <c r="H56" s="67"/>
      <c r="I56" s="67"/>
      <c r="J56" s="67"/>
      <c r="K56" s="67"/>
      <c r="L56" s="59"/>
    </row>
    <row r="57" spans="3:12" x14ac:dyDescent="0.2">
      <c r="C57" s="55"/>
      <c r="D57" s="67"/>
      <c r="E57" s="67"/>
      <c r="F57" s="67"/>
      <c r="G57" s="67"/>
      <c r="H57" s="67"/>
      <c r="I57" s="67"/>
      <c r="J57" s="67"/>
      <c r="K57" s="67"/>
      <c r="L57" s="59"/>
    </row>
    <row r="58" spans="3:12" x14ac:dyDescent="0.2">
      <c r="C58" s="55"/>
      <c r="D58" s="67"/>
      <c r="E58" s="67"/>
      <c r="F58" s="67"/>
      <c r="G58" s="67"/>
      <c r="H58" s="67"/>
      <c r="I58" s="67"/>
      <c r="J58" s="67"/>
      <c r="K58" s="67"/>
      <c r="L58" s="59"/>
    </row>
    <row r="59" spans="3:12" x14ac:dyDescent="0.2">
      <c r="C59" s="55"/>
      <c r="D59" s="67"/>
      <c r="E59" s="67"/>
      <c r="F59" s="67"/>
      <c r="G59" s="67"/>
      <c r="H59" s="67"/>
      <c r="I59" s="67"/>
      <c r="J59" s="67"/>
      <c r="K59" s="67"/>
      <c r="L59" s="59"/>
    </row>
    <row r="60" spans="3:12" x14ac:dyDescent="0.2">
      <c r="C60" s="55"/>
      <c r="D60" s="67"/>
      <c r="E60" s="67"/>
      <c r="F60" s="67"/>
      <c r="G60" s="67"/>
      <c r="H60" s="67"/>
      <c r="I60" s="67"/>
      <c r="J60" s="67"/>
      <c r="K60" s="67"/>
      <c r="L60" s="59"/>
    </row>
    <row r="61" spans="3:12" x14ac:dyDescent="0.2">
      <c r="C61" s="55"/>
      <c r="D61" s="67"/>
      <c r="E61" s="67"/>
      <c r="F61" s="67"/>
      <c r="G61" s="67"/>
      <c r="H61" s="67"/>
      <c r="I61" s="67"/>
      <c r="J61" s="67"/>
      <c r="K61" s="67"/>
      <c r="L61" s="59"/>
    </row>
    <row r="62" spans="3:12" x14ac:dyDescent="0.2">
      <c r="C62" s="55"/>
      <c r="D62" s="67"/>
      <c r="E62" s="67"/>
      <c r="F62" s="67"/>
      <c r="G62" s="67"/>
      <c r="H62" s="67"/>
      <c r="I62" s="67"/>
      <c r="J62" s="67"/>
      <c r="K62" s="67"/>
      <c r="L62" s="59"/>
    </row>
    <row r="63" spans="3:12" x14ac:dyDescent="0.2">
      <c r="C63" s="55"/>
      <c r="D63" s="67"/>
      <c r="E63" s="67"/>
      <c r="F63" s="67"/>
      <c r="G63" s="67"/>
      <c r="H63" s="67"/>
      <c r="I63" s="67"/>
      <c r="J63" s="67"/>
      <c r="K63" s="67"/>
      <c r="L63" s="59"/>
    </row>
    <row r="67" spans="2:13" s="42" customFormat="1" ht="12.75" customHeight="1" x14ac:dyDescent="0.25"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</row>
    <row r="68" spans="2:13" x14ac:dyDescent="0.2">
      <c r="B68" s="339"/>
      <c r="C68" s="339"/>
      <c r="D68" s="339"/>
      <c r="E68" s="339"/>
      <c r="F68" s="339"/>
      <c r="G68" s="339"/>
      <c r="H68" s="339"/>
      <c r="I68" s="339"/>
      <c r="J68" s="339"/>
      <c r="K68" s="118"/>
    </row>
  </sheetData>
  <mergeCells count="3">
    <mergeCell ref="D7:J7"/>
    <mergeCell ref="G9:H9"/>
    <mergeCell ref="I9:J9"/>
  </mergeCells>
  <pageMargins left="0.7" right="0.7" top="0.75" bottom="0.75" header="0.3" footer="0.3"/>
  <pageSetup scale="76" orientation="portrait" r:id="rId1"/>
  <ignoredErrors>
    <ignoredError sqref="C29:C42" numberStoredAsText="1"/>
  </ignoredErrors>
  <drawing r:id="rId2"/>
  <legacyDrawing r:id="rId3"/>
  <oleObjects>
    <mc:AlternateContent xmlns:mc="http://schemas.openxmlformats.org/markup-compatibility/2006">
      <mc:Choice Requires="x14">
        <oleObject progId="MSPhotoEd.3" shapeId="39937" r:id="rId4">
          <objectPr defaultSize="0" autoPict="0" r:id="rId5">
            <anchor moveWithCells="1" sizeWithCells="1">
              <from>
                <xdr:col>0</xdr:col>
                <xdr:colOff>85725</xdr:colOff>
                <xdr:row>0</xdr:row>
                <xdr:rowOff>66675</xdr:rowOff>
              </from>
              <to>
                <xdr:col>2</xdr:col>
                <xdr:colOff>28575</xdr:colOff>
                <xdr:row>3</xdr:row>
                <xdr:rowOff>0</xdr:rowOff>
              </to>
            </anchor>
          </objectPr>
        </oleObject>
      </mc:Choice>
      <mc:Fallback>
        <oleObject progId="MSPhotoEd.3" shapeId="39937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082A4-E5C9-477F-95E0-BCDEB87FF78D}">
  <dimension ref="B2:N364"/>
  <sheetViews>
    <sheetView zoomScaleNormal="100" zoomScaleSheetLayoutView="100" workbookViewId="0">
      <selection activeCell="M4" sqref="M4"/>
    </sheetView>
  </sheetViews>
  <sheetFormatPr defaultColWidth="10.85546875" defaultRowHeight="12" customHeight="1" x14ac:dyDescent="0.2"/>
  <cols>
    <col min="1" max="1" width="10.85546875" style="342"/>
    <col min="2" max="2" width="5.42578125" style="342" customWidth="1"/>
    <col min="3" max="3" width="6.28515625" style="342" customWidth="1"/>
    <col min="4" max="4" width="5.7109375" style="342" customWidth="1"/>
    <col min="5" max="5" width="9.5703125" style="342" customWidth="1"/>
    <col min="6" max="6" width="9.42578125" style="342" customWidth="1"/>
    <col min="7" max="7" width="8.7109375" style="342" customWidth="1"/>
    <col min="8" max="8" width="10.85546875" style="342"/>
    <col min="9" max="9" width="7.85546875" style="342" customWidth="1"/>
    <col min="10" max="10" width="9.140625" style="342" customWidth="1"/>
    <col min="11" max="11" width="9.28515625" style="342" customWidth="1"/>
    <col min="12" max="12" width="10.7109375" style="342" customWidth="1"/>
    <col min="13" max="13" width="7.7109375" style="342" customWidth="1"/>
    <col min="14" max="14" width="5.85546875" style="342" customWidth="1"/>
    <col min="15" max="20" width="10.85546875" style="342"/>
    <col min="21" max="21" width="32.7109375" style="342" customWidth="1"/>
    <col min="22" max="22" width="10.85546875" style="342"/>
    <col min="23" max="26" width="20.7109375" style="342" customWidth="1"/>
    <col min="27" max="27" width="48.7109375" style="342" customWidth="1"/>
    <col min="28" max="16384" width="10.85546875" style="342"/>
  </cols>
  <sheetData>
    <row r="2" spans="2:14" ht="12" customHeight="1" x14ac:dyDescent="0.2">
      <c r="J2" s="65" t="s">
        <v>323</v>
      </c>
    </row>
    <row r="3" spans="2:14" ht="12" customHeight="1" x14ac:dyDescent="0.2"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</row>
    <row r="4" spans="2:14" ht="12" customHeight="1" x14ac:dyDescent="0.2">
      <c r="B4" s="58">
        <v>1.05</v>
      </c>
      <c r="C4" s="343" t="s">
        <v>333</v>
      </c>
      <c r="D4" s="44"/>
      <c r="E4" s="44"/>
      <c r="F4" s="44"/>
      <c r="G4" s="44"/>
      <c r="H4" s="44"/>
      <c r="I4" s="344" t="s">
        <v>311</v>
      </c>
      <c r="J4" s="44"/>
      <c r="K4" s="44"/>
      <c r="L4" s="44"/>
      <c r="M4" s="44"/>
      <c r="N4" s="44"/>
    </row>
    <row r="5" spans="2:14" ht="12" customHeight="1" x14ac:dyDescent="0.2"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44"/>
    </row>
    <row r="6" spans="2:14" ht="12" customHeight="1" x14ac:dyDescent="0.2">
      <c r="C6" s="346" t="s">
        <v>159</v>
      </c>
      <c r="D6" s="347" t="s">
        <v>160</v>
      </c>
      <c r="E6" s="44"/>
      <c r="F6" s="44"/>
      <c r="G6" s="44"/>
      <c r="H6" s="44"/>
      <c r="I6" s="44"/>
      <c r="J6" s="44"/>
      <c r="K6" s="44"/>
      <c r="L6" s="44"/>
      <c r="M6" s="44"/>
      <c r="N6" s="44"/>
    </row>
    <row r="7" spans="2:14" ht="12" customHeight="1" x14ac:dyDescent="0.2">
      <c r="C7" s="348" t="s">
        <v>121</v>
      </c>
      <c r="D7" s="349" t="s">
        <v>161</v>
      </c>
      <c r="E7" s="349" t="s">
        <v>162</v>
      </c>
      <c r="F7" s="349" t="s">
        <v>163</v>
      </c>
      <c r="G7" s="349" t="s">
        <v>164</v>
      </c>
      <c r="H7" s="349" t="s">
        <v>165</v>
      </c>
      <c r="I7" s="349" t="s">
        <v>166</v>
      </c>
      <c r="J7" s="349" t="s">
        <v>167</v>
      </c>
      <c r="K7" s="349" t="s">
        <v>168</v>
      </c>
      <c r="L7" s="349" t="s">
        <v>169</v>
      </c>
      <c r="M7" s="349" t="s">
        <v>170</v>
      </c>
      <c r="N7" s="44"/>
    </row>
    <row r="8" spans="2:14" ht="12" customHeight="1" x14ac:dyDescent="0.2"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44"/>
    </row>
    <row r="9" spans="2:14" ht="12" customHeight="1" x14ac:dyDescent="0.2">
      <c r="C9" s="346" t="s">
        <v>171</v>
      </c>
      <c r="D9" s="351">
        <v>1</v>
      </c>
      <c r="E9" s="352">
        <v>8.4182634124276012E-3</v>
      </c>
      <c r="F9" s="353">
        <v>7.5059665871121728E-2</v>
      </c>
      <c r="G9" s="352">
        <v>8.3532219570405727E-3</v>
      </c>
      <c r="H9" s="354">
        <v>100000</v>
      </c>
      <c r="I9" s="354">
        <v>835.32219570405732</v>
      </c>
      <c r="J9" s="354">
        <v>99227.376809200228</v>
      </c>
      <c r="K9" s="352">
        <v>0.99177217605276802</v>
      </c>
      <c r="L9" s="354">
        <v>8210318.5957533987</v>
      </c>
      <c r="M9" s="355">
        <v>82.103185957533981</v>
      </c>
      <c r="N9" s="44"/>
    </row>
    <row r="10" spans="2:14" ht="12" customHeight="1" x14ac:dyDescent="0.2">
      <c r="C10" s="346" t="s">
        <v>172</v>
      </c>
      <c r="D10" s="351">
        <v>4</v>
      </c>
      <c r="E10" s="352">
        <v>0</v>
      </c>
      <c r="F10" s="353">
        <v>1.7194093078758952</v>
      </c>
      <c r="G10" s="352">
        <v>0</v>
      </c>
      <c r="H10" s="354">
        <v>99164.677804295949</v>
      </c>
      <c r="I10" s="354">
        <v>0</v>
      </c>
      <c r="J10" s="354">
        <v>396658.71121718379</v>
      </c>
      <c r="K10" s="352">
        <v>0.9991967440693883</v>
      </c>
      <c r="L10" s="354">
        <v>8111091.2189441985</v>
      </c>
      <c r="M10" s="356">
        <v>81.794156937126814</v>
      </c>
      <c r="N10" s="44"/>
    </row>
    <row r="11" spans="2:14" ht="12" customHeight="1" x14ac:dyDescent="0.2">
      <c r="C11" s="346" t="s">
        <v>173</v>
      </c>
      <c r="D11" s="351">
        <v>5</v>
      </c>
      <c r="E11" s="352">
        <v>2.7094468134177961E-4</v>
      </c>
      <c r="F11" s="353">
        <v>2.5</v>
      </c>
      <c r="G11" s="352">
        <v>1.3538063901064835E-3</v>
      </c>
      <c r="H11" s="354">
        <v>99164.677804295949</v>
      </c>
      <c r="I11" s="354">
        <v>134.24977448430641</v>
      </c>
      <c r="J11" s="354">
        <v>495487.76458526897</v>
      </c>
      <c r="K11" s="352">
        <v>0.99932263829664547</v>
      </c>
      <c r="L11" s="354">
        <v>7714432.5077270148</v>
      </c>
      <c r="M11" s="356">
        <v>77.794156937126814</v>
      </c>
      <c r="N11" s="44"/>
    </row>
    <row r="12" spans="2:14" ht="12" customHeight="1" x14ac:dyDescent="0.2">
      <c r="C12" s="346" t="s">
        <v>174</v>
      </c>
      <c r="D12" s="351">
        <v>5</v>
      </c>
      <c r="E12" s="352">
        <v>0</v>
      </c>
      <c r="F12" s="353">
        <v>2.5</v>
      </c>
      <c r="G12" s="352">
        <v>0</v>
      </c>
      <c r="H12" s="354">
        <v>99030.428029811635</v>
      </c>
      <c r="I12" s="354">
        <v>0</v>
      </c>
      <c r="J12" s="354">
        <v>495152.14014905819</v>
      </c>
      <c r="K12" s="352">
        <v>1</v>
      </c>
      <c r="L12" s="354">
        <v>7218944.7431417461</v>
      </c>
      <c r="M12" s="356">
        <v>72.896228833511557</v>
      </c>
      <c r="N12" s="44"/>
    </row>
    <row r="13" spans="2:14" ht="12" customHeight="1" x14ac:dyDescent="0.2">
      <c r="C13" s="346" t="s">
        <v>175</v>
      </c>
      <c r="D13" s="351">
        <v>5</v>
      </c>
      <c r="E13" s="352">
        <v>0</v>
      </c>
      <c r="F13" s="353">
        <v>2.5</v>
      </c>
      <c r="G13" s="352">
        <v>0</v>
      </c>
      <c r="H13" s="354">
        <v>99030.428029811635</v>
      </c>
      <c r="I13" s="354">
        <v>0</v>
      </c>
      <c r="J13" s="354">
        <v>495152.14014905819</v>
      </c>
      <c r="K13" s="352">
        <v>0.99719220474442027</v>
      </c>
      <c r="L13" s="354">
        <v>6723792.6029926883</v>
      </c>
      <c r="M13" s="356">
        <v>67.896228833511557</v>
      </c>
      <c r="N13" s="44"/>
    </row>
    <row r="14" spans="2:14" ht="12" customHeight="1" x14ac:dyDescent="0.2">
      <c r="C14" s="346" t="s">
        <v>176</v>
      </c>
      <c r="D14" s="351">
        <v>5</v>
      </c>
      <c r="E14" s="352">
        <v>1.1262804671840093E-3</v>
      </c>
      <c r="F14" s="353">
        <v>2.5</v>
      </c>
      <c r="G14" s="352">
        <v>5.6155905111589912E-3</v>
      </c>
      <c r="H14" s="354">
        <v>99030.428029811635</v>
      </c>
      <c r="I14" s="354">
        <v>556.11433196022358</v>
      </c>
      <c r="J14" s="354">
        <v>493761.85431915754</v>
      </c>
      <c r="K14" s="352">
        <v>0.99490035544003419</v>
      </c>
      <c r="L14" s="354">
        <v>6228640.4628436305</v>
      </c>
      <c r="M14" s="356">
        <v>62.896228833511564</v>
      </c>
      <c r="N14" s="44"/>
    </row>
    <row r="15" spans="2:14" ht="12" customHeight="1" x14ac:dyDescent="0.2">
      <c r="C15" s="346" t="s">
        <v>177</v>
      </c>
      <c r="D15" s="351">
        <v>5</v>
      </c>
      <c r="E15" s="352">
        <v>9.1826015721775851E-4</v>
      </c>
      <c r="F15" s="353">
        <v>2.5</v>
      </c>
      <c r="G15" s="352">
        <v>4.5807849054202128E-3</v>
      </c>
      <c r="H15" s="354">
        <v>98474.313697851409</v>
      </c>
      <c r="I15" s="354">
        <v>451.08964975873261</v>
      </c>
      <c r="J15" s="354">
        <v>491243.84436486021</v>
      </c>
      <c r="K15" s="352">
        <v>0.9962339627390373</v>
      </c>
      <c r="L15" s="354">
        <v>5734878.6085244725</v>
      </c>
      <c r="M15" s="356">
        <v>58.237304665263188</v>
      </c>
      <c r="N15" s="44"/>
    </row>
    <row r="16" spans="2:14" ht="12" customHeight="1" x14ac:dyDescent="0.2">
      <c r="C16" s="346" t="s">
        <v>178</v>
      </c>
      <c r="D16" s="351">
        <v>5</v>
      </c>
      <c r="E16" s="352">
        <v>5.9037813321502074E-4</v>
      </c>
      <c r="F16" s="353">
        <v>2.5</v>
      </c>
      <c r="G16" s="352">
        <v>2.9475402577876816E-3</v>
      </c>
      <c r="H16" s="354">
        <v>98023.22404809267</v>
      </c>
      <c r="I16" s="354">
        <v>288.92739907989477</v>
      </c>
      <c r="J16" s="354">
        <v>489393.80174276361</v>
      </c>
      <c r="K16" s="352">
        <v>0.99641489638281544</v>
      </c>
      <c r="L16" s="354">
        <v>5243634.7641596124</v>
      </c>
      <c r="M16" s="356">
        <v>53.493800220108582</v>
      </c>
      <c r="N16" s="44"/>
    </row>
    <row r="17" spans="3:14" ht="12" customHeight="1" x14ac:dyDescent="0.2">
      <c r="C17" s="346" t="s">
        <v>179</v>
      </c>
      <c r="D17" s="351">
        <v>5</v>
      </c>
      <c r="E17" s="352">
        <v>8.4669881664905969E-4</v>
      </c>
      <c r="F17" s="353">
        <v>2.5</v>
      </c>
      <c r="G17" s="352">
        <v>4.2245517757717524E-3</v>
      </c>
      <c r="H17" s="354">
        <v>97734.296649012773</v>
      </c>
      <c r="I17" s="354">
        <v>412.88359646239013</v>
      </c>
      <c r="J17" s="354">
        <v>487639.2742539079</v>
      </c>
      <c r="K17" s="352">
        <v>0.99534764708480483</v>
      </c>
      <c r="L17" s="354">
        <v>4754240.9624168491</v>
      </c>
      <c r="M17" s="356">
        <v>48.644550842683863</v>
      </c>
      <c r="N17" s="44"/>
    </row>
    <row r="18" spans="3:14" ht="12" customHeight="1" x14ac:dyDescent="0.2">
      <c r="C18" s="346" t="s">
        <v>180</v>
      </c>
      <c r="D18" s="351">
        <v>5</v>
      </c>
      <c r="E18" s="352">
        <v>1.0189830180434931E-3</v>
      </c>
      <c r="F18" s="353">
        <v>2.5</v>
      </c>
      <c r="G18" s="352">
        <v>5.0819689899699576E-3</v>
      </c>
      <c r="H18" s="354">
        <v>97321.413052550386</v>
      </c>
      <c r="I18" s="354">
        <v>494.58440319311853</v>
      </c>
      <c r="J18" s="354">
        <v>485370.6042547691</v>
      </c>
      <c r="K18" s="352">
        <v>0.99404213144576037</v>
      </c>
      <c r="L18" s="354">
        <v>4266601.6881629415</v>
      </c>
      <c r="M18" s="356">
        <v>43.8403179150216</v>
      </c>
      <c r="N18" s="44"/>
    </row>
    <row r="19" spans="3:14" ht="12" customHeight="1" x14ac:dyDescent="0.2">
      <c r="C19" s="346" t="s">
        <v>181</v>
      </c>
      <c r="D19" s="351">
        <v>5</v>
      </c>
      <c r="E19" s="352">
        <v>1.3723406287299907E-3</v>
      </c>
      <c r="F19" s="353">
        <v>2.5</v>
      </c>
      <c r="G19" s="352">
        <v>6.838242149821718E-3</v>
      </c>
      <c r="H19" s="354">
        <v>96826.828649357267</v>
      </c>
      <c r="I19" s="354">
        <v>662.12530090359996</v>
      </c>
      <c r="J19" s="354">
        <v>482478.82999452733</v>
      </c>
      <c r="K19" s="352">
        <v>0.99197624216673785</v>
      </c>
      <c r="L19" s="354">
        <v>3781231.0839081728</v>
      </c>
      <c r="M19" s="356">
        <v>39.051481254242987</v>
      </c>
      <c r="N19" s="44"/>
    </row>
    <row r="20" spans="3:14" ht="12" customHeight="1" x14ac:dyDescent="0.2">
      <c r="C20" s="346" t="s">
        <v>182</v>
      </c>
      <c r="D20" s="351">
        <v>5</v>
      </c>
      <c r="E20" s="352">
        <v>1.852022686109935E-3</v>
      </c>
      <c r="F20" s="353">
        <v>2.5</v>
      </c>
      <c r="G20" s="352">
        <v>9.2174361782748366E-3</v>
      </c>
      <c r="H20" s="354">
        <v>96164.703348453666</v>
      </c>
      <c r="I20" s="354">
        <v>886.39201571710419</v>
      </c>
      <c r="J20" s="354">
        <v>478607.53670297557</v>
      </c>
      <c r="K20" s="352">
        <v>0.9887210722810319</v>
      </c>
      <c r="L20" s="354">
        <v>3298752.2539136456</v>
      </c>
      <c r="M20" s="356">
        <v>34.303150106547797</v>
      </c>
      <c r="N20" s="44"/>
    </row>
    <row r="21" spans="3:14" ht="12" customHeight="1" x14ac:dyDescent="0.2">
      <c r="C21" s="346" t="s">
        <v>183</v>
      </c>
      <c r="D21" s="351">
        <v>5</v>
      </c>
      <c r="E21" s="352">
        <v>2.6898874475705698E-3</v>
      </c>
      <c r="F21" s="353">
        <v>2.5</v>
      </c>
      <c r="G21" s="352">
        <v>1.3359597702441873E-2</v>
      </c>
      <c r="H21" s="354">
        <v>95278.311332736557</v>
      </c>
      <c r="I21" s="354">
        <v>1272.8799091733688</v>
      </c>
      <c r="J21" s="354">
        <v>473209.35689074936</v>
      </c>
      <c r="K21" s="352">
        <v>0.97583439902049007</v>
      </c>
      <c r="L21" s="354">
        <v>2820144.71721067</v>
      </c>
      <c r="M21" s="356">
        <v>29.599020781990916</v>
      </c>
      <c r="N21" s="44"/>
    </row>
    <row r="22" spans="3:14" ht="12" customHeight="1" x14ac:dyDescent="0.2">
      <c r="C22" s="346" t="s">
        <v>184</v>
      </c>
      <c r="D22" s="351">
        <v>5</v>
      </c>
      <c r="E22" s="352">
        <v>7.1491156196543297E-3</v>
      </c>
      <c r="F22" s="353">
        <v>2.5</v>
      </c>
      <c r="G22" s="352">
        <v>3.5117922870955241E-2</v>
      </c>
      <c r="H22" s="354">
        <v>94005.43142356319</v>
      </c>
      <c r="I22" s="354">
        <v>3301.2754901835642</v>
      </c>
      <c r="J22" s="354">
        <v>461773.968392357</v>
      </c>
      <c r="K22" s="352">
        <v>0.9520357515823874</v>
      </c>
      <c r="L22" s="354">
        <v>2346935.3603199208</v>
      </c>
      <c r="M22" s="356">
        <v>24.965954889832496</v>
      </c>
      <c r="N22" s="44"/>
    </row>
    <row r="23" spans="3:14" ht="12" customHeight="1" x14ac:dyDescent="0.2">
      <c r="C23" s="346" t="s">
        <v>312</v>
      </c>
      <c r="D23" s="351">
        <v>5</v>
      </c>
      <c r="E23" s="352">
        <v>1.2642995525519457E-2</v>
      </c>
      <c r="F23" s="353">
        <v>2.5</v>
      </c>
      <c r="G23" s="352">
        <v>6.1278129824634639E-2</v>
      </c>
      <c r="H23" s="354">
        <v>90704.155933379618</v>
      </c>
      <c r="I23" s="354">
        <v>5558.1810429195402</v>
      </c>
      <c r="J23" s="354">
        <v>439625.32705959922</v>
      </c>
      <c r="K23" s="352">
        <v>0.93263639278810284</v>
      </c>
      <c r="L23" s="354">
        <v>1885161.3919275641</v>
      </c>
      <c r="M23" s="356">
        <v>20.783627525426478</v>
      </c>
      <c r="N23" s="44"/>
    </row>
    <row r="24" spans="3:14" ht="12" customHeight="1" x14ac:dyDescent="0.2">
      <c r="C24" s="346" t="s">
        <v>313</v>
      </c>
      <c r="D24" s="351">
        <v>5</v>
      </c>
      <c r="E24" s="352">
        <v>1.5335502099036039E-2</v>
      </c>
      <c r="F24" s="353">
        <v>2.5</v>
      </c>
      <c r="G24" s="352">
        <v>7.3846333971129274E-2</v>
      </c>
      <c r="H24" s="354">
        <v>85145.974890460071</v>
      </c>
      <c r="I24" s="354">
        <v>6287.7180980583016</v>
      </c>
      <c r="J24" s="354">
        <v>410010.57920715457</v>
      </c>
      <c r="K24" s="352">
        <v>0.8859864502069621</v>
      </c>
      <c r="L24" s="354">
        <v>1445536.0648679649</v>
      </c>
      <c r="M24" s="356">
        <v>16.977150907340491</v>
      </c>
      <c r="N24" s="44"/>
    </row>
    <row r="25" spans="3:14" ht="12" customHeight="1" x14ac:dyDescent="0.2">
      <c r="C25" s="346" t="s">
        <v>314</v>
      </c>
      <c r="D25" s="351">
        <v>5</v>
      </c>
      <c r="E25" s="352">
        <v>3.4165215293200317E-2</v>
      </c>
      <c r="F25" s="353">
        <v>2.5</v>
      </c>
      <c r="G25" s="352">
        <v>0.15738347564361127</v>
      </c>
      <c r="H25" s="354">
        <v>78858.256792401764</v>
      </c>
      <c r="I25" s="354">
        <v>12410.986537184606</v>
      </c>
      <c r="J25" s="354">
        <v>363263.81761904736</v>
      </c>
      <c r="K25" s="352">
        <v>0.79734926056090871</v>
      </c>
      <c r="L25" s="354">
        <v>1035525.4856608105</v>
      </c>
      <c r="M25" s="356">
        <v>13.131478272299148</v>
      </c>
      <c r="N25" s="44"/>
    </row>
    <row r="26" spans="3:14" ht="12" customHeight="1" x14ac:dyDescent="0.2">
      <c r="C26" s="346" t="s">
        <v>315</v>
      </c>
      <c r="D26" s="351">
        <v>5</v>
      </c>
      <c r="E26" s="352">
        <v>5.8813725429991699E-2</v>
      </c>
      <c r="F26" s="353">
        <v>2.5</v>
      </c>
      <c r="G26" s="352">
        <v>0.25637299919427031</v>
      </c>
      <c r="H26" s="354">
        <v>66447.270255217169</v>
      </c>
      <c r="I26" s="354">
        <v>17035.285963602251</v>
      </c>
      <c r="J26" s="354">
        <v>289648.13636708021</v>
      </c>
      <c r="K26" s="352">
        <v>0.72771811509200801</v>
      </c>
      <c r="L26" s="354">
        <v>672261.66804176313</v>
      </c>
      <c r="M26" s="356">
        <v>10.117220247869849</v>
      </c>
      <c r="N26" s="44"/>
    </row>
    <row r="27" spans="3:14" ht="12" customHeight="1" x14ac:dyDescent="0.2">
      <c r="C27" s="346" t="s">
        <v>316</v>
      </c>
      <c r="D27" s="351">
        <v>5</v>
      </c>
      <c r="E27" s="352">
        <v>6.8844003597287026E-2</v>
      </c>
      <c r="F27" s="353">
        <v>2.5</v>
      </c>
      <c r="G27" s="352">
        <v>0.29367552136347896</v>
      </c>
      <c r="H27" s="354">
        <v>49411.984291614921</v>
      </c>
      <c r="I27" s="354">
        <v>14511.090248444045</v>
      </c>
      <c r="J27" s="354">
        <v>210782.1958369645</v>
      </c>
      <c r="K27" s="352">
        <v>0.5700960108819183</v>
      </c>
      <c r="L27" s="354">
        <v>382613.53167468286</v>
      </c>
      <c r="M27" s="356">
        <v>7.7433346820603468</v>
      </c>
      <c r="N27" s="44"/>
    </row>
    <row r="28" spans="3:14" ht="12" customHeight="1" x14ac:dyDescent="0.2">
      <c r="C28" s="346" t="s">
        <v>317</v>
      </c>
      <c r="D28" s="351">
        <v>5</v>
      </c>
      <c r="E28" s="352">
        <v>0.18087758918085808</v>
      </c>
      <c r="F28" s="353">
        <v>2.5</v>
      </c>
      <c r="G28" s="352">
        <v>0.62277351562461902</v>
      </c>
      <c r="H28" s="354">
        <v>34900.894043170876</v>
      </c>
      <c r="I28" s="354">
        <v>21735.352481707851</v>
      </c>
      <c r="J28" s="354">
        <v>120166.08901158476</v>
      </c>
      <c r="K28" s="352">
        <v>0.35003088911551539</v>
      </c>
      <c r="L28" s="354">
        <v>171831.33583771839</v>
      </c>
      <c r="M28" s="356">
        <v>4.9234078538266255</v>
      </c>
      <c r="N28" s="44"/>
    </row>
    <row r="29" spans="3:14" ht="12" customHeight="1" x14ac:dyDescent="0.2">
      <c r="C29" s="346" t="s">
        <v>318</v>
      </c>
      <c r="D29" s="351">
        <v>5</v>
      </c>
      <c r="E29" s="352">
        <v>0.22600878274725142</v>
      </c>
      <c r="F29" s="353">
        <v>2.5</v>
      </c>
      <c r="G29" s="352">
        <v>0.72206265782856138</v>
      </c>
      <c r="H29" s="354">
        <v>13165.541561463026</v>
      </c>
      <c r="I29" s="354">
        <v>9506.3459316223798</v>
      </c>
      <c r="J29" s="354">
        <v>42061.842978259177</v>
      </c>
      <c r="K29" s="352">
        <v>0.18587744059739605</v>
      </c>
      <c r="L29" s="354">
        <v>51665.24682613364</v>
      </c>
      <c r="M29" s="356">
        <v>3.9242781305224423</v>
      </c>
      <c r="N29" s="44"/>
    </row>
    <row r="30" spans="3:14" ht="12" customHeight="1" x14ac:dyDescent="0.2">
      <c r="C30" s="348" t="s">
        <v>319</v>
      </c>
      <c r="D30" s="357" t="s">
        <v>320</v>
      </c>
      <c r="E30" s="358">
        <v>0.38103111019855129</v>
      </c>
      <c r="F30" s="359">
        <v>2.6244576183790098</v>
      </c>
      <c r="G30" s="358">
        <v>1</v>
      </c>
      <c r="H30" s="360">
        <v>3659.1956298406453</v>
      </c>
      <c r="I30" s="360">
        <v>3659.1956298406453</v>
      </c>
      <c r="J30" s="360">
        <v>9603.4038478744606</v>
      </c>
      <c r="K30" s="358"/>
      <c r="L30" s="360">
        <v>9603.4038478744606</v>
      </c>
      <c r="M30" s="361">
        <v>2.6244576183790098</v>
      </c>
      <c r="N30" s="44"/>
    </row>
    <row r="31" spans="3:14" ht="12" customHeight="1" x14ac:dyDescent="0.2">
      <c r="C31" s="362"/>
      <c r="D31" s="363"/>
      <c r="E31" s="364"/>
      <c r="F31" s="365"/>
      <c r="G31" s="364"/>
      <c r="H31" s="366"/>
      <c r="I31" s="366"/>
      <c r="J31" s="366"/>
      <c r="K31" s="364"/>
      <c r="L31" s="366"/>
      <c r="M31" s="367"/>
      <c r="N31" s="44"/>
    </row>
    <row r="32" spans="3:14" ht="12" customHeight="1" x14ac:dyDescent="0.25">
      <c r="C32" s="368" t="s">
        <v>41</v>
      </c>
      <c r="D32" s="350"/>
      <c r="E32" s="350"/>
      <c r="F32" s="350"/>
      <c r="G32" s="350"/>
      <c r="H32" s="350"/>
      <c r="I32" s="350"/>
      <c r="J32" s="350"/>
      <c r="K32" s="350"/>
      <c r="L32" s="350"/>
      <c r="M32" s="350"/>
      <c r="N32" s="44"/>
    </row>
    <row r="33" spans="3:14" ht="12" hidden="1" customHeight="1" x14ac:dyDescent="0.2">
      <c r="C33" s="346" t="s">
        <v>185</v>
      </c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</row>
    <row r="34" spans="3:14" ht="12" hidden="1" customHeight="1" x14ac:dyDescent="0.2">
      <c r="C34" s="346" t="s">
        <v>186</v>
      </c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</row>
    <row r="35" spans="3:14" ht="12" hidden="1" customHeight="1" x14ac:dyDescent="0.2">
      <c r="C35" s="346" t="s">
        <v>187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</row>
    <row r="36" spans="3:14" ht="12" hidden="1" customHeight="1" x14ac:dyDescent="0.2">
      <c r="C36" s="346" t="s">
        <v>188</v>
      </c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</row>
    <row r="37" spans="3:14" ht="12" hidden="1" customHeight="1" x14ac:dyDescent="0.2">
      <c r="C37" s="346" t="s">
        <v>189</v>
      </c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</row>
    <row r="38" spans="3:14" ht="12" hidden="1" customHeight="1" x14ac:dyDescent="0.2">
      <c r="C38" s="346" t="s">
        <v>190</v>
      </c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</row>
    <row r="39" spans="3:14" ht="12" hidden="1" customHeight="1" x14ac:dyDescent="0.2">
      <c r="C39" s="346" t="s">
        <v>191</v>
      </c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</row>
    <row r="40" spans="3:14" ht="12" hidden="1" customHeight="1" x14ac:dyDescent="0.2">
      <c r="C40" s="346" t="s">
        <v>192</v>
      </c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</row>
    <row r="41" spans="3:14" ht="12" hidden="1" customHeight="1" x14ac:dyDescent="0.2">
      <c r="C41" s="346" t="s">
        <v>193</v>
      </c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</row>
    <row r="42" spans="3:14" ht="12" hidden="1" customHeight="1" x14ac:dyDescent="0.2">
      <c r="C42" s="346" t="s">
        <v>194</v>
      </c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</row>
    <row r="43" spans="3:14" ht="12" hidden="1" customHeight="1" x14ac:dyDescent="0.2">
      <c r="C43" s="346" t="s">
        <v>195</v>
      </c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</row>
    <row r="44" spans="3:14" ht="12" hidden="1" customHeight="1" x14ac:dyDescent="0.2">
      <c r="C44" s="346" t="s">
        <v>196</v>
      </c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</row>
    <row r="45" spans="3:14" ht="12" customHeight="1" x14ac:dyDescent="0.2">
      <c r="C45" s="346" t="s">
        <v>197</v>
      </c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</row>
    <row r="46" spans="3:14" ht="12" hidden="1" customHeight="1" x14ac:dyDescent="0.2">
      <c r="C46" s="346" t="s">
        <v>41</v>
      </c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</row>
    <row r="47" spans="3:14" ht="12" hidden="1" customHeight="1" x14ac:dyDescent="0.2">
      <c r="C47" s="346" t="s">
        <v>198</v>
      </c>
      <c r="D47" s="44"/>
      <c r="E47" s="44"/>
      <c r="F47" s="351" t="e">
        <f>CHOOSE(#REF!," West"," North"," East"," South"," Empirical")</f>
        <v>#REF!</v>
      </c>
      <c r="G47" s="44"/>
      <c r="H47" s="44"/>
      <c r="I47" s="44"/>
      <c r="J47" s="44"/>
      <c r="K47" s="44"/>
      <c r="L47" s="44"/>
      <c r="M47" s="44"/>
      <c r="N47" s="44"/>
    </row>
    <row r="48" spans="3:14" ht="12" hidden="1" customHeight="1" x14ac:dyDescent="0.2">
      <c r="C48" s="346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</row>
    <row r="49" spans="3:14" ht="12" hidden="1" customHeight="1" x14ac:dyDescent="0.2">
      <c r="C49" s="346" t="s">
        <v>199</v>
      </c>
      <c r="D49" s="44"/>
      <c r="E49" s="44"/>
      <c r="F49" s="44"/>
      <c r="G49" s="44"/>
      <c r="H49" s="44"/>
      <c r="I49" s="44"/>
      <c r="J49" s="351" t="e">
        <f>CHOOSE(#REF!,"Male","Female","Both sexes")</f>
        <v>#REF!</v>
      </c>
      <c r="K49" s="44"/>
      <c r="L49" s="44"/>
      <c r="M49" s="44"/>
      <c r="N49" s="44"/>
    </row>
    <row r="50" spans="3:14" ht="12" hidden="1" customHeight="1" x14ac:dyDescent="0.2">
      <c r="C50" s="350" t="s">
        <v>70</v>
      </c>
      <c r="D50" s="350" t="s">
        <v>70</v>
      </c>
      <c r="E50" s="350" t="s">
        <v>70</v>
      </c>
      <c r="F50" s="350" t="s">
        <v>70</v>
      </c>
      <c r="G50" s="350" t="s">
        <v>70</v>
      </c>
      <c r="H50" s="350" t="s">
        <v>70</v>
      </c>
      <c r="I50" s="350" t="s">
        <v>70</v>
      </c>
      <c r="J50" s="350" t="s">
        <v>70</v>
      </c>
      <c r="K50" s="350" t="s">
        <v>70</v>
      </c>
      <c r="L50" s="350" t="s">
        <v>70</v>
      </c>
      <c r="M50" s="350" t="s">
        <v>70</v>
      </c>
      <c r="N50" s="44"/>
    </row>
    <row r="51" spans="3:14" ht="12" hidden="1" customHeight="1" x14ac:dyDescent="0.2">
      <c r="C51" s="346" t="s">
        <v>159</v>
      </c>
      <c r="D51" s="347" t="s">
        <v>160</v>
      </c>
      <c r="E51" s="44"/>
      <c r="F51" s="44"/>
      <c r="G51" s="44"/>
      <c r="H51" s="44"/>
      <c r="I51" s="44"/>
      <c r="J51" s="44"/>
      <c r="K51" s="44"/>
      <c r="L51" s="44"/>
      <c r="M51" s="44"/>
      <c r="N51" s="44"/>
    </row>
    <row r="52" spans="3:14" ht="12" hidden="1" customHeight="1" x14ac:dyDescent="0.2">
      <c r="C52" s="346" t="s">
        <v>121</v>
      </c>
      <c r="D52" s="347" t="s">
        <v>161</v>
      </c>
      <c r="E52" s="347" t="s">
        <v>162</v>
      </c>
      <c r="F52" s="347" t="s">
        <v>163</v>
      </c>
      <c r="G52" s="347" t="s">
        <v>164</v>
      </c>
      <c r="H52" s="347" t="s">
        <v>165</v>
      </c>
      <c r="I52" s="347" t="s">
        <v>166</v>
      </c>
      <c r="J52" s="347" t="s">
        <v>167</v>
      </c>
      <c r="K52" s="347" t="s">
        <v>168</v>
      </c>
      <c r="L52" s="347" t="s">
        <v>169</v>
      </c>
      <c r="M52" s="347" t="s">
        <v>170</v>
      </c>
      <c r="N52" s="44"/>
    </row>
    <row r="53" spans="3:14" ht="12" hidden="1" customHeight="1" x14ac:dyDescent="0.2">
      <c r="C53" s="350" t="s">
        <v>70</v>
      </c>
      <c r="D53" s="350" t="s">
        <v>70</v>
      </c>
      <c r="E53" s="350" t="s">
        <v>70</v>
      </c>
      <c r="F53" s="350" t="s">
        <v>70</v>
      </c>
      <c r="G53" s="350" t="s">
        <v>70</v>
      </c>
      <c r="H53" s="350" t="s">
        <v>70</v>
      </c>
      <c r="I53" s="350" t="s">
        <v>70</v>
      </c>
      <c r="J53" s="350" t="s">
        <v>70</v>
      </c>
      <c r="K53" s="350" t="s">
        <v>70</v>
      </c>
      <c r="L53" s="350" t="s">
        <v>70</v>
      </c>
      <c r="M53" s="350" t="s">
        <v>70</v>
      </c>
      <c r="N53" s="44"/>
    </row>
    <row r="54" spans="3:14" ht="12" hidden="1" customHeight="1" x14ac:dyDescent="0.2">
      <c r="C54" s="351" t="str">
        <f t="shared" ref="C54:C75" si="0">C9</f>
        <v>0</v>
      </c>
      <c r="D54" s="351">
        <v>1</v>
      </c>
      <c r="E54" s="352">
        <f>E9</f>
        <v>8.4182634124276012E-3</v>
      </c>
      <c r="F54" s="353">
        <f>F9</f>
        <v>7.5059665871121728E-2</v>
      </c>
      <c r="G54" s="352">
        <f>G9</f>
        <v>8.3532219570405727E-3</v>
      </c>
      <c r="H54" s="354">
        <v>100000</v>
      </c>
      <c r="I54" s="354">
        <f t="shared" ref="I54:I67" si="1">H54*G54</f>
        <v>835.32219570405732</v>
      </c>
      <c r="J54" s="354">
        <f t="shared" ref="J54:J67" si="2">H55*D54+I54*F54</f>
        <v>99227.376809200228</v>
      </c>
      <c r="K54" s="352" t="e">
        <f>(J54+J55)/(5*H54)</f>
        <v>#REF!</v>
      </c>
      <c r="L54" s="354" t="e">
        <f t="shared" ref="L54:L67" si="3">L55+J54</f>
        <v>#REF!</v>
      </c>
      <c r="M54" s="369" t="e">
        <f t="shared" ref="M54:M67" si="4">L54/H54</f>
        <v>#REF!</v>
      </c>
      <c r="N54" s="44"/>
    </row>
    <row r="55" spans="3:14" ht="12" hidden="1" customHeight="1" x14ac:dyDescent="0.2">
      <c r="C55" s="351" t="str">
        <f t="shared" si="0"/>
        <v>1</v>
      </c>
      <c r="D55" s="351">
        <v>4</v>
      </c>
      <c r="E55" s="352" t="e">
        <f t="shared" ref="E55:E67" si="5">J333</f>
        <v>#REF!</v>
      </c>
      <c r="F55" s="353">
        <f>F10</f>
        <v>1.7194093078758952</v>
      </c>
      <c r="G55" s="352" t="e">
        <f t="shared" ref="G55:G67" si="6">D55*E55/(1+(D55-F55)*E55)</f>
        <v>#REF!</v>
      </c>
      <c r="H55" s="354">
        <f t="shared" ref="H55:H67" si="7">H54*(1-G54)</f>
        <v>99164.677804295949</v>
      </c>
      <c r="I55" s="354" t="e">
        <f t="shared" si="1"/>
        <v>#REF!</v>
      </c>
      <c r="J55" s="354" t="e">
        <f t="shared" si="2"/>
        <v>#REF!</v>
      </c>
      <c r="K55" s="352" t="e">
        <f>J56/(J55+J54)</f>
        <v>#REF!</v>
      </c>
      <c r="L55" s="354" t="e">
        <f t="shared" si="3"/>
        <v>#REF!</v>
      </c>
      <c r="M55" s="369" t="e">
        <f t="shared" si="4"/>
        <v>#REF!</v>
      </c>
      <c r="N55" s="44"/>
    </row>
    <row r="56" spans="3:14" ht="12" hidden="1" customHeight="1" x14ac:dyDescent="0.2">
      <c r="C56" s="351" t="str">
        <f t="shared" si="0"/>
        <v>5</v>
      </c>
      <c r="D56" s="351">
        <v>5</v>
      </c>
      <c r="E56" s="352" t="e">
        <f t="shared" si="5"/>
        <v>#REF!</v>
      </c>
      <c r="F56" s="353">
        <v>2.5</v>
      </c>
      <c r="G56" s="352" t="e">
        <f t="shared" si="6"/>
        <v>#REF!</v>
      </c>
      <c r="H56" s="354" t="e">
        <f t="shared" si="7"/>
        <v>#REF!</v>
      </c>
      <c r="I56" s="354" t="e">
        <f t="shared" si="1"/>
        <v>#REF!</v>
      </c>
      <c r="J56" s="354" t="e">
        <f t="shared" si="2"/>
        <v>#REF!</v>
      </c>
      <c r="K56" s="352" t="e">
        <f t="shared" ref="K56:K66" si="8">J57/J56</f>
        <v>#REF!</v>
      </c>
      <c r="L56" s="354" t="e">
        <f t="shared" si="3"/>
        <v>#REF!</v>
      </c>
      <c r="M56" s="369" t="e">
        <f t="shared" si="4"/>
        <v>#REF!</v>
      </c>
      <c r="N56" s="44"/>
    </row>
    <row r="57" spans="3:14" ht="12" hidden="1" customHeight="1" x14ac:dyDescent="0.2">
      <c r="C57" s="351" t="str">
        <f t="shared" si="0"/>
        <v>10</v>
      </c>
      <c r="D57" s="351">
        <v>5</v>
      </c>
      <c r="E57" s="352" t="e">
        <f t="shared" si="5"/>
        <v>#REF!</v>
      </c>
      <c r="F57" s="353">
        <v>2.5</v>
      </c>
      <c r="G57" s="352" t="e">
        <f t="shared" si="6"/>
        <v>#REF!</v>
      </c>
      <c r="H57" s="354" t="e">
        <f t="shared" si="7"/>
        <v>#REF!</v>
      </c>
      <c r="I57" s="354" t="e">
        <f t="shared" si="1"/>
        <v>#REF!</v>
      </c>
      <c r="J57" s="354" t="e">
        <f t="shared" si="2"/>
        <v>#REF!</v>
      </c>
      <c r="K57" s="352" t="e">
        <f t="shared" si="8"/>
        <v>#REF!</v>
      </c>
      <c r="L57" s="354" t="e">
        <f t="shared" si="3"/>
        <v>#REF!</v>
      </c>
      <c r="M57" s="369" t="e">
        <f t="shared" si="4"/>
        <v>#REF!</v>
      </c>
      <c r="N57" s="44"/>
    </row>
    <row r="58" spans="3:14" ht="12" hidden="1" customHeight="1" x14ac:dyDescent="0.2">
      <c r="C58" s="351" t="str">
        <f t="shared" si="0"/>
        <v>15</v>
      </c>
      <c r="D58" s="351">
        <v>5</v>
      </c>
      <c r="E58" s="352" t="e">
        <f t="shared" si="5"/>
        <v>#REF!</v>
      </c>
      <c r="F58" s="353">
        <v>2.5</v>
      </c>
      <c r="G58" s="352" t="e">
        <f t="shared" si="6"/>
        <v>#REF!</v>
      </c>
      <c r="H58" s="354" t="e">
        <f t="shared" si="7"/>
        <v>#REF!</v>
      </c>
      <c r="I58" s="354" t="e">
        <f t="shared" si="1"/>
        <v>#REF!</v>
      </c>
      <c r="J58" s="354" t="e">
        <f t="shared" si="2"/>
        <v>#REF!</v>
      </c>
      <c r="K58" s="352" t="e">
        <f t="shared" si="8"/>
        <v>#REF!</v>
      </c>
      <c r="L58" s="354" t="e">
        <f t="shared" si="3"/>
        <v>#REF!</v>
      </c>
      <c r="M58" s="369" t="e">
        <f t="shared" si="4"/>
        <v>#REF!</v>
      </c>
      <c r="N58" s="44"/>
    </row>
    <row r="59" spans="3:14" ht="12" hidden="1" customHeight="1" x14ac:dyDescent="0.2">
      <c r="C59" s="351" t="str">
        <f t="shared" si="0"/>
        <v>20</v>
      </c>
      <c r="D59" s="351">
        <v>5</v>
      </c>
      <c r="E59" s="352" t="e">
        <f t="shared" si="5"/>
        <v>#REF!</v>
      </c>
      <c r="F59" s="353">
        <v>2.5</v>
      </c>
      <c r="G59" s="352" t="e">
        <f t="shared" si="6"/>
        <v>#REF!</v>
      </c>
      <c r="H59" s="354" t="e">
        <f t="shared" si="7"/>
        <v>#REF!</v>
      </c>
      <c r="I59" s="354" t="e">
        <f t="shared" si="1"/>
        <v>#REF!</v>
      </c>
      <c r="J59" s="354" t="e">
        <f t="shared" si="2"/>
        <v>#REF!</v>
      </c>
      <c r="K59" s="352" t="e">
        <f t="shared" si="8"/>
        <v>#REF!</v>
      </c>
      <c r="L59" s="354" t="e">
        <f t="shared" si="3"/>
        <v>#REF!</v>
      </c>
      <c r="M59" s="369" t="e">
        <f t="shared" si="4"/>
        <v>#REF!</v>
      </c>
      <c r="N59" s="44"/>
    </row>
    <row r="60" spans="3:14" ht="12" hidden="1" customHeight="1" x14ac:dyDescent="0.2">
      <c r="C60" s="351" t="str">
        <f t="shared" si="0"/>
        <v>25</v>
      </c>
      <c r="D60" s="351">
        <v>5</v>
      </c>
      <c r="E60" s="352" t="e">
        <f t="shared" si="5"/>
        <v>#REF!</v>
      </c>
      <c r="F60" s="353">
        <v>2.5</v>
      </c>
      <c r="G60" s="352" t="e">
        <f t="shared" si="6"/>
        <v>#REF!</v>
      </c>
      <c r="H60" s="354" t="e">
        <f t="shared" si="7"/>
        <v>#REF!</v>
      </c>
      <c r="I60" s="354" t="e">
        <f t="shared" si="1"/>
        <v>#REF!</v>
      </c>
      <c r="J60" s="354" t="e">
        <f t="shared" si="2"/>
        <v>#REF!</v>
      </c>
      <c r="K60" s="352" t="e">
        <f t="shared" si="8"/>
        <v>#REF!</v>
      </c>
      <c r="L60" s="354" t="e">
        <f t="shared" si="3"/>
        <v>#REF!</v>
      </c>
      <c r="M60" s="369" t="e">
        <f t="shared" si="4"/>
        <v>#REF!</v>
      </c>
      <c r="N60" s="44"/>
    </row>
    <row r="61" spans="3:14" ht="12" hidden="1" customHeight="1" x14ac:dyDescent="0.2">
      <c r="C61" s="351" t="str">
        <f t="shared" si="0"/>
        <v>30</v>
      </c>
      <c r="D61" s="351">
        <v>5</v>
      </c>
      <c r="E61" s="352" t="e">
        <f t="shared" si="5"/>
        <v>#REF!</v>
      </c>
      <c r="F61" s="353">
        <v>2.5</v>
      </c>
      <c r="G61" s="352" t="e">
        <f t="shared" si="6"/>
        <v>#REF!</v>
      </c>
      <c r="H61" s="354" t="e">
        <f t="shared" si="7"/>
        <v>#REF!</v>
      </c>
      <c r="I61" s="354" t="e">
        <f t="shared" si="1"/>
        <v>#REF!</v>
      </c>
      <c r="J61" s="354" t="e">
        <f t="shared" si="2"/>
        <v>#REF!</v>
      </c>
      <c r="K61" s="352" t="e">
        <f t="shared" si="8"/>
        <v>#REF!</v>
      </c>
      <c r="L61" s="354" t="e">
        <f t="shared" si="3"/>
        <v>#REF!</v>
      </c>
      <c r="M61" s="369" t="e">
        <f t="shared" si="4"/>
        <v>#REF!</v>
      </c>
      <c r="N61" s="44"/>
    </row>
    <row r="62" spans="3:14" ht="12" hidden="1" customHeight="1" x14ac:dyDescent="0.2">
      <c r="C62" s="351" t="str">
        <f t="shared" si="0"/>
        <v>35</v>
      </c>
      <c r="D62" s="351">
        <v>5</v>
      </c>
      <c r="E62" s="352" t="e">
        <f t="shared" si="5"/>
        <v>#REF!</v>
      </c>
      <c r="F62" s="353">
        <v>2.5</v>
      </c>
      <c r="G62" s="352" t="e">
        <f t="shared" si="6"/>
        <v>#REF!</v>
      </c>
      <c r="H62" s="354" t="e">
        <f t="shared" si="7"/>
        <v>#REF!</v>
      </c>
      <c r="I62" s="354" t="e">
        <f t="shared" si="1"/>
        <v>#REF!</v>
      </c>
      <c r="J62" s="354" t="e">
        <f t="shared" si="2"/>
        <v>#REF!</v>
      </c>
      <c r="K62" s="352" t="e">
        <f t="shared" si="8"/>
        <v>#REF!</v>
      </c>
      <c r="L62" s="354" t="e">
        <f t="shared" si="3"/>
        <v>#REF!</v>
      </c>
      <c r="M62" s="369" t="e">
        <f t="shared" si="4"/>
        <v>#REF!</v>
      </c>
      <c r="N62" s="44"/>
    </row>
    <row r="63" spans="3:14" ht="12" hidden="1" customHeight="1" x14ac:dyDescent="0.2">
      <c r="C63" s="351" t="str">
        <f t="shared" si="0"/>
        <v>40</v>
      </c>
      <c r="D63" s="351">
        <v>5</v>
      </c>
      <c r="E63" s="352" t="e">
        <f t="shared" si="5"/>
        <v>#REF!</v>
      </c>
      <c r="F63" s="353">
        <v>2.5</v>
      </c>
      <c r="G63" s="352" t="e">
        <f t="shared" si="6"/>
        <v>#REF!</v>
      </c>
      <c r="H63" s="354" t="e">
        <f t="shared" si="7"/>
        <v>#REF!</v>
      </c>
      <c r="I63" s="354" t="e">
        <f t="shared" si="1"/>
        <v>#REF!</v>
      </c>
      <c r="J63" s="354" t="e">
        <f t="shared" si="2"/>
        <v>#REF!</v>
      </c>
      <c r="K63" s="352" t="e">
        <f t="shared" si="8"/>
        <v>#REF!</v>
      </c>
      <c r="L63" s="354" t="e">
        <f t="shared" si="3"/>
        <v>#REF!</v>
      </c>
      <c r="M63" s="369" t="e">
        <f t="shared" si="4"/>
        <v>#REF!</v>
      </c>
      <c r="N63" s="44"/>
    </row>
    <row r="64" spans="3:14" ht="12" hidden="1" customHeight="1" x14ac:dyDescent="0.2">
      <c r="C64" s="351" t="str">
        <f t="shared" si="0"/>
        <v>45</v>
      </c>
      <c r="D64" s="351">
        <v>5</v>
      </c>
      <c r="E64" s="352" t="e">
        <f t="shared" si="5"/>
        <v>#REF!</v>
      </c>
      <c r="F64" s="353">
        <v>2.5</v>
      </c>
      <c r="G64" s="352" t="e">
        <f t="shared" si="6"/>
        <v>#REF!</v>
      </c>
      <c r="H64" s="354" t="e">
        <f t="shared" si="7"/>
        <v>#REF!</v>
      </c>
      <c r="I64" s="354" t="e">
        <f t="shared" si="1"/>
        <v>#REF!</v>
      </c>
      <c r="J64" s="354" t="e">
        <f t="shared" si="2"/>
        <v>#REF!</v>
      </c>
      <c r="K64" s="352" t="e">
        <f t="shared" si="8"/>
        <v>#REF!</v>
      </c>
      <c r="L64" s="354" t="e">
        <f t="shared" si="3"/>
        <v>#REF!</v>
      </c>
      <c r="M64" s="369" t="e">
        <f t="shared" si="4"/>
        <v>#REF!</v>
      </c>
      <c r="N64" s="44"/>
    </row>
    <row r="65" spans="3:14" ht="12" hidden="1" customHeight="1" x14ac:dyDescent="0.2">
      <c r="C65" s="351" t="str">
        <f t="shared" si="0"/>
        <v>50</v>
      </c>
      <c r="D65" s="351">
        <v>5</v>
      </c>
      <c r="E65" s="352" t="e">
        <f t="shared" si="5"/>
        <v>#REF!</v>
      </c>
      <c r="F65" s="353">
        <v>2.5</v>
      </c>
      <c r="G65" s="352" t="e">
        <f t="shared" si="6"/>
        <v>#REF!</v>
      </c>
      <c r="H65" s="354" t="e">
        <f t="shared" si="7"/>
        <v>#REF!</v>
      </c>
      <c r="I65" s="354" t="e">
        <f t="shared" si="1"/>
        <v>#REF!</v>
      </c>
      <c r="J65" s="354" t="e">
        <f t="shared" si="2"/>
        <v>#REF!</v>
      </c>
      <c r="K65" s="352" t="e">
        <f t="shared" si="8"/>
        <v>#REF!</v>
      </c>
      <c r="L65" s="354" t="e">
        <f t="shared" si="3"/>
        <v>#REF!</v>
      </c>
      <c r="M65" s="369" t="e">
        <f t="shared" si="4"/>
        <v>#REF!</v>
      </c>
      <c r="N65" s="44"/>
    </row>
    <row r="66" spans="3:14" ht="12" hidden="1" customHeight="1" x14ac:dyDescent="0.2">
      <c r="C66" s="351" t="str">
        <f t="shared" si="0"/>
        <v>55</v>
      </c>
      <c r="D66" s="351">
        <v>5</v>
      </c>
      <c r="E66" s="352" t="e">
        <f t="shared" si="5"/>
        <v>#REF!</v>
      </c>
      <c r="F66" s="353">
        <v>2.5</v>
      </c>
      <c r="G66" s="352" t="e">
        <f t="shared" si="6"/>
        <v>#REF!</v>
      </c>
      <c r="H66" s="354" t="e">
        <f t="shared" si="7"/>
        <v>#REF!</v>
      </c>
      <c r="I66" s="354" t="e">
        <f t="shared" si="1"/>
        <v>#REF!</v>
      </c>
      <c r="J66" s="354" t="e">
        <f t="shared" si="2"/>
        <v>#REF!</v>
      </c>
      <c r="K66" s="352" t="e">
        <f t="shared" si="8"/>
        <v>#REF!</v>
      </c>
      <c r="L66" s="354" t="e">
        <f t="shared" si="3"/>
        <v>#REF!</v>
      </c>
      <c r="M66" s="369" t="e">
        <f t="shared" si="4"/>
        <v>#REF!</v>
      </c>
      <c r="N66" s="44"/>
    </row>
    <row r="67" spans="3:14" ht="12" hidden="1" customHeight="1" x14ac:dyDescent="0.2">
      <c r="C67" s="351" t="str">
        <f t="shared" si="0"/>
        <v>60</v>
      </c>
      <c r="D67" s="351">
        <v>5</v>
      </c>
      <c r="E67" s="352" t="e">
        <f t="shared" si="5"/>
        <v>#REF!</v>
      </c>
      <c r="F67" s="353">
        <v>2.5</v>
      </c>
      <c r="G67" s="352" t="e">
        <f t="shared" si="6"/>
        <v>#REF!</v>
      </c>
      <c r="H67" s="354" t="e">
        <f t="shared" si="7"/>
        <v>#REF!</v>
      </c>
      <c r="I67" s="354" t="e">
        <f t="shared" si="1"/>
        <v>#REF!</v>
      </c>
      <c r="J67" s="354" t="e">
        <f t="shared" si="2"/>
        <v>#REF!</v>
      </c>
      <c r="K67" s="352" t="e">
        <f t="shared" ref="K67:K74" si="9">CHOOSE(D237+1,J68/J67,L68/L67," ")</f>
        <v>#REF!</v>
      </c>
      <c r="L67" s="354" t="e">
        <f t="shared" si="3"/>
        <v>#REF!</v>
      </c>
      <c r="M67" s="369" t="e">
        <f t="shared" si="4"/>
        <v>#REF!</v>
      </c>
      <c r="N67" s="44"/>
    </row>
    <row r="68" spans="3:14" ht="12" hidden="1" customHeight="1" x14ac:dyDescent="0.2">
      <c r="C68" s="351" t="str">
        <f t="shared" si="0"/>
        <v>65</v>
      </c>
      <c r="D68" s="351" t="e">
        <f t="shared" ref="D68:D75" si="10">CHOOSE(D237+1,5,"     +"," ")</f>
        <v>#REF!</v>
      </c>
      <c r="E68" s="352" t="e">
        <f t="shared" ref="E68:E75" si="11">IF(D237&lt;2,J346," ")</f>
        <v>#REF!</v>
      </c>
      <c r="F68" s="353" t="e">
        <f t="shared" ref="F68:F75" si="12">CHOOSE(D237+1,2.5,1/E68," ")</f>
        <v>#REF!</v>
      </c>
      <c r="G68" s="352" t="e">
        <f t="shared" ref="G68:G75" si="13">CHOOSE(D237+1,D68*E68/(1+(D68-F68)*E68),1," ")</f>
        <v>#REF!</v>
      </c>
      <c r="H68" s="354" t="e">
        <f t="shared" ref="H68:H75" si="14">IF(D237&lt;2,H67*(1-G67)," ")</f>
        <v>#REF!</v>
      </c>
      <c r="I68" s="354" t="e">
        <f t="shared" ref="I68:I75" si="15">IF(D237&lt;2,H68*G68," ")</f>
        <v>#REF!</v>
      </c>
      <c r="J68" s="354" t="e">
        <f t="shared" ref="J68:J75" si="16">CHOOSE(D237+1,+H69*D68+I68*F68,H68/E68," ")</f>
        <v>#REF!</v>
      </c>
      <c r="K68" s="352" t="e">
        <f t="shared" si="9"/>
        <v>#REF!</v>
      </c>
      <c r="L68" s="354" t="e">
        <f t="shared" ref="L68:L75" si="17">CHOOSE(D237+1,L69+J68,J68," ")</f>
        <v>#REF!</v>
      </c>
      <c r="M68" s="369" t="e">
        <f t="shared" ref="M68:M75" si="18">IF(D237&lt;2,L68/H68," ")</f>
        <v>#REF!</v>
      </c>
      <c r="N68" s="44"/>
    </row>
    <row r="69" spans="3:14" ht="12" hidden="1" customHeight="1" x14ac:dyDescent="0.2">
      <c r="C69" s="351" t="str">
        <f t="shared" si="0"/>
        <v>70</v>
      </c>
      <c r="D69" s="351" t="e">
        <f t="shared" si="10"/>
        <v>#REF!</v>
      </c>
      <c r="E69" s="352" t="e">
        <f t="shared" si="11"/>
        <v>#REF!</v>
      </c>
      <c r="F69" s="353" t="e">
        <f t="shared" si="12"/>
        <v>#REF!</v>
      </c>
      <c r="G69" s="352" t="e">
        <f t="shared" si="13"/>
        <v>#REF!</v>
      </c>
      <c r="H69" s="354" t="e">
        <f t="shared" si="14"/>
        <v>#REF!</v>
      </c>
      <c r="I69" s="354" t="e">
        <f t="shared" si="15"/>
        <v>#REF!</v>
      </c>
      <c r="J69" s="354" t="e">
        <f t="shared" si="16"/>
        <v>#REF!</v>
      </c>
      <c r="K69" s="352" t="e">
        <f t="shared" si="9"/>
        <v>#REF!</v>
      </c>
      <c r="L69" s="354" t="e">
        <f t="shared" si="17"/>
        <v>#REF!</v>
      </c>
      <c r="M69" s="369" t="e">
        <f t="shared" si="18"/>
        <v>#REF!</v>
      </c>
      <c r="N69" s="44"/>
    </row>
    <row r="70" spans="3:14" ht="12" hidden="1" customHeight="1" x14ac:dyDescent="0.2">
      <c r="C70" s="351" t="str">
        <f t="shared" si="0"/>
        <v>75</v>
      </c>
      <c r="D70" s="351" t="e">
        <f t="shared" si="10"/>
        <v>#REF!</v>
      </c>
      <c r="E70" s="352" t="e">
        <f t="shared" si="11"/>
        <v>#REF!</v>
      </c>
      <c r="F70" s="353" t="e">
        <f t="shared" si="12"/>
        <v>#REF!</v>
      </c>
      <c r="G70" s="352" t="e">
        <f t="shared" si="13"/>
        <v>#REF!</v>
      </c>
      <c r="H70" s="354" t="e">
        <f t="shared" si="14"/>
        <v>#REF!</v>
      </c>
      <c r="I70" s="354" t="e">
        <f t="shared" si="15"/>
        <v>#REF!</v>
      </c>
      <c r="J70" s="354" t="e">
        <f t="shared" si="16"/>
        <v>#REF!</v>
      </c>
      <c r="K70" s="352" t="e">
        <f t="shared" si="9"/>
        <v>#REF!</v>
      </c>
      <c r="L70" s="354" t="e">
        <f t="shared" si="17"/>
        <v>#REF!</v>
      </c>
      <c r="M70" s="369" t="e">
        <f t="shared" si="18"/>
        <v>#REF!</v>
      </c>
      <c r="N70" s="44"/>
    </row>
    <row r="71" spans="3:14" ht="12" hidden="1" customHeight="1" x14ac:dyDescent="0.2">
      <c r="C71" s="351" t="str">
        <f t="shared" si="0"/>
        <v>80</v>
      </c>
      <c r="D71" s="351" t="e">
        <f t="shared" si="10"/>
        <v>#REF!</v>
      </c>
      <c r="E71" s="352" t="e">
        <f t="shared" si="11"/>
        <v>#REF!</v>
      </c>
      <c r="F71" s="353" t="e">
        <f t="shared" si="12"/>
        <v>#REF!</v>
      </c>
      <c r="G71" s="352" t="e">
        <f t="shared" si="13"/>
        <v>#REF!</v>
      </c>
      <c r="H71" s="354" t="e">
        <f t="shared" si="14"/>
        <v>#REF!</v>
      </c>
      <c r="I71" s="354" t="e">
        <f t="shared" si="15"/>
        <v>#REF!</v>
      </c>
      <c r="J71" s="354" t="e">
        <f t="shared" si="16"/>
        <v>#REF!</v>
      </c>
      <c r="K71" s="352" t="e">
        <f t="shared" si="9"/>
        <v>#REF!</v>
      </c>
      <c r="L71" s="354" t="e">
        <f t="shared" si="17"/>
        <v>#REF!</v>
      </c>
      <c r="M71" s="369" t="e">
        <f t="shared" si="18"/>
        <v>#REF!</v>
      </c>
      <c r="N71" s="44"/>
    </row>
    <row r="72" spans="3:14" ht="12" hidden="1" customHeight="1" x14ac:dyDescent="0.2">
      <c r="C72" s="351" t="str">
        <f t="shared" si="0"/>
        <v>85</v>
      </c>
      <c r="D72" s="351" t="e">
        <f t="shared" si="10"/>
        <v>#REF!</v>
      </c>
      <c r="E72" s="352" t="e">
        <f t="shared" si="11"/>
        <v>#REF!</v>
      </c>
      <c r="F72" s="353" t="e">
        <f t="shared" si="12"/>
        <v>#REF!</v>
      </c>
      <c r="G72" s="352" t="e">
        <f t="shared" si="13"/>
        <v>#REF!</v>
      </c>
      <c r="H72" s="354" t="e">
        <f t="shared" si="14"/>
        <v>#REF!</v>
      </c>
      <c r="I72" s="354" t="e">
        <f t="shared" si="15"/>
        <v>#REF!</v>
      </c>
      <c r="J72" s="354" t="e">
        <f t="shared" si="16"/>
        <v>#REF!</v>
      </c>
      <c r="K72" s="352" t="e">
        <f t="shared" si="9"/>
        <v>#REF!</v>
      </c>
      <c r="L72" s="354" t="e">
        <f t="shared" si="17"/>
        <v>#REF!</v>
      </c>
      <c r="M72" s="369" t="e">
        <f t="shared" si="18"/>
        <v>#REF!</v>
      </c>
      <c r="N72" s="44"/>
    </row>
    <row r="73" spans="3:14" ht="12" hidden="1" customHeight="1" x14ac:dyDescent="0.2">
      <c r="C73" s="351" t="str">
        <f t="shared" si="0"/>
        <v>90</v>
      </c>
      <c r="D73" s="351" t="e">
        <f t="shared" si="10"/>
        <v>#REF!</v>
      </c>
      <c r="E73" s="352" t="e">
        <f t="shared" si="11"/>
        <v>#REF!</v>
      </c>
      <c r="F73" s="353" t="e">
        <f t="shared" si="12"/>
        <v>#REF!</v>
      </c>
      <c r="G73" s="352" t="e">
        <f t="shared" si="13"/>
        <v>#REF!</v>
      </c>
      <c r="H73" s="354" t="e">
        <f t="shared" si="14"/>
        <v>#REF!</v>
      </c>
      <c r="I73" s="354" t="e">
        <f t="shared" si="15"/>
        <v>#REF!</v>
      </c>
      <c r="J73" s="354" t="e">
        <f t="shared" si="16"/>
        <v>#REF!</v>
      </c>
      <c r="K73" s="352" t="e">
        <f t="shared" si="9"/>
        <v>#REF!</v>
      </c>
      <c r="L73" s="354" t="e">
        <f t="shared" si="17"/>
        <v>#REF!</v>
      </c>
      <c r="M73" s="369" t="e">
        <f t="shared" si="18"/>
        <v>#REF!</v>
      </c>
      <c r="N73" s="44"/>
    </row>
    <row r="74" spans="3:14" ht="12" hidden="1" customHeight="1" x14ac:dyDescent="0.2">
      <c r="C74" s="351" t="str">
        <f t="shared" si="0"/>
        <v>95</v>
      </c>
      <c r="D74" s="351" t="e">
        <f t="shared" si="10"/>
        <v>#REF!</v>
      </c>
      <c r="E74" s="352" t="e">
        <f t="shared" si="11"/>
        <v>#REF!</v>
      </c>
      <c r="F74" s="353" t="e">
        <f t="shared" si="12"/>
        <v>#REF!</v>
      </c>
      <c r="G74" s="352" t="e">
        <f t="shared" si="13"/>
        <v>#REF!</v>
      </c>
      <c r="H74" s="354" t="e">
        <f t="shared" si="14"/>
        <v>#REF!</v>
      </c>
      <c r="I74" s="354" t="e">
        <f t="shared" si="15"/>
        <v>#REF!</v>
      </c>
      <c r="J74" s="354" t="e">
        <f t="shared" si="16"/>
        <v>#REF!</v>
      </c>
      <c r="K74" s="352" t="e">
        <f t="shared" si="9"/>
        <v>#REF!</v>
      </c>
      <c r="L74" s="354" t="e">
        <f t="shared" si="17"/>
        <v>#REF!</v>
      </c>
      <c r="M74" s="369" t="e">
        <f t="shared" si="18"/>
        <v>#REF!</v>
      </c>
      <c r="N74" s="44"/>
    </row>
    <row r="75" spans="3:14" ht="12" hidden="1" customHeight="1" x14ac:dyDescent="0.2">
      <c r="C75" s="351" t="str">
        <f t="shared" si="0"/>
        <v>100</v>
      </c>
      <c r="D75" s="351" t="e">
        <f t="shared" si="10"/>
        <v>#REF!</v>
      </c>
      <c r="E75" s="352" t="e">
        <f t="shared" si="11"/>
        <v>#REF!</v>
      </c>
      <c r="F75" s="353" t="e">
        <f t="shared" si="12"/>
        <v>#REF!</v>
      </c>
      <c r="G75" s="352" t="e">
        <f t="shared" si="13"/>
        <v>#REF!</v>
      </c>
      <c r="H75" s="354" t="e">
        <f t="shared" si="14"/>
        <v>#REF!</v>
      </c>
      <c r="I75" s="354" t="e">
        <f t="shared" si="15"/>
        <v>#REF!</v>
      </c>
      <c r="J75" s="354" t="e">
        <f t="shared" si="16"/>
        <v>#REF!</v>
      </c>
      <c r="K75" s="352"/>
      <c r="L75" s="354" t="e">
        <f t="shared" si="17"/>
        <v>#REF!</v>
      </c>
      <c r="M75" s="369" t="e">
        <f t="shared" si="18"/>
        <v>#REF!</v>
      </c>
      <c r="N75" s="44"/>
    </row>
    <row r="76" spans="3:14" ht="12" hidden="1" customHeight="1" x14ac:dyDescent="0.2">
      <c r="C76" s="350" t="s">
        <v>70</v>
      </c>
      <c r="D76" s="350" t="s">
        <v>70</v>
      </c>
      <c r="E76" s="350" t="s">
        <v>70</v>
      </c>
      <c r="F76" s="350" t="s">
        <v>70</v>
      </c>
      <c r="G76" s="350" t="s">
        <v>70</v>
      </c>
      <c r="H76" s="350" t="s">
        <v>70</v>
      </c>
      <c r="I76" s="350" t="s">
        <v>70</v>
      </c>
      <c r="J76" s="350" t="s">
        <v>70</v>
      </c>
      <c r="K76" s="350" t="s">
        <v>70</v>
      </c>
      <c r="L76" s="350" t="s">
        <v>70</v>
      </c>
      <c r="M76" s="350" t="s">
        <v>70</v>
      </c>
      <c r="N76" s="44"/>
    </row>
    <row r="77" spans="3:14" ht="12" customHeight="1" x14ac:dyDescent="0.2">
      <c r="C77" s="346" t="s">
        <v>185</v>
      </c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</row>
    <row r="78" spans="3:14" ht="12" customHeight="1" x14ac:dyDescent="0.2">
      <c r="C78" s="346" t="s">
        <v>186</v>
      </c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</row>
    <row r="79" spans="3:14" ht="12" customHeight="1" x14ac:dyDescent="0.2">
      <c r="C79" s="346" t="s">
        <v>187</v>
      </c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</row>
    <row r="80" spans="3:14" ht="12" customHeight="1" x14ac:dyDescent="0.2">
      <c r="C80" s="346" t="s">
        <v>188</v>
      </c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</row>
    <row r="81" spans="3:14" ht="12" customHeight="1" x14ac:dyDescent="0.2">
      <c r="C81" s="346" t="s">
        <v>189</v>
      </c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</row>
    <row r="82" spans="3:14" ht="12" customHeight="1" x14ac:dyDescent="0.2">
      <c r="C82" s="346" t="s">
        <v>190</v>
      </c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</row>
    <row r="83" spans="3:14" ht="12" customHeight="1" x14ac:dyDescent="0.2">
      <c r="C83" s="346" t="s">
        <v>200</v>
      </c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</row>
    <row r="84" spans="3:14" ht="12" customHeight="1" x14ac:dyDescent="0.2">
      <c r="C84" s="346" t="s">
        <v>192</v>
      </c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</row>
    <row r="85" spans="3:14" ht="12" customHeight="1" x14ac:dyDescent="0.2">
      <c r="C85" s="346" t="s">
        <v>193</v>
      </c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</row>
    <row r="86" spans="3:14" ht="12" customHeight="1" x14ac:dyDescent="0.2">
      <c r="C86" s="346" t="s">
        <v>194</v>
      </c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</row>
    <row r="87" spans="3:14" ht="12" customHeight="1" x14ac:dyDescent="0.2">
      <c r="C87" s="346" t="s">
        <v>195</v>
      </c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</row>
    <row r="88" spans="3:14" ht="12" customHeight="1" x14ac:dyDescent="0.2">
      <c r="C88" s="346" t="s">
        <v>196</v>
      </c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</row>
    <row r="89" spans="3:14" ht="12" customHeight="1" x14ac:dyDescent="0.2">
      <c r="C89" s="346" t="s">
        <v>197</v>
      </c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</row>
    <row r="90" spans="3:14" ht="12" customHeight="1" x14ac:dyDescent="0.2">
      <c r="C90" s="346" t="s">
        <v>41</v>
      </c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</row>
    <row r="91" spans="3:14" ht="12" customHeight="1" x14ac:dyDescent="0.2">
      <c r="C91" s="346" t="s">
        <v>201</v>
      </c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</row>
    <row r="92" spans="3:14" ht="12" customHeight="1" x14ac:dyDescent="0.2">
      <c r="C92" s="346" t="s">
        <v>202</v>
      </c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</row>
    <row r="93" spans="3:14" ht="12" customHeight="1" x14ac:dyDescent="0.2">
      <c r="C93" s="370"/>
      <c r="F93" s="371"/>
    </row>
    <row r="94" spans="3:14" ht="10.5" customHeight="1" x14ac:dyDescent="0.2">
      <c r="C94" s="370"/>
    </row>
    <row r="101" spans="3:12" ht="12" customHeight="1" x14ac:dyDescent="0.2">
      <c r="C101" s="372"/>
    </row>
    <row r="102" spans="3:12" ht="12" customHeight="1" x14ac:dyDescent="0.2">
      <c r="D102" s="373"/>
    </row>
    <row r="104" spans="3:12" ht="12" customHeight="1" x14ac:dyDescent="0.2">
      <c r="C104" s="372"/>
    </row>
    <row r="106" spans="3:12" ht="12" customHeight="1" x14ac:dyDescent="0.2">
      <c r="C106" s="370"/>
    </row>
    <row r="108" spans="3:12" ht="12" customHeight="1" x14ac:dyDescent="0.2">
      <c r="C108" s="370"/>
      <c r="D108" s="374"/>
      <c r="E108" s="374"/>
      <c r="F108" s="374"/>
      <c r="G108" s="374"/>
      <c r="H108" s="374"/>
      <c r="I108" s="374"/>
      <c r="J108" s="374"/>
      <c r="K108" s="374"/>
      <c r="L108" s="374"/>
    </row>
    <row r="109" spans="3:12" ht="12" customHeight="1" x14ac:dyDescent="0.2">
      <c r="C109" s="370"/>
    </row>
    <row r="110" spans="3:12" ht="12" customHeight="1" x14ac:dyDescent="0.2">
      <c r="C110" s="370"/>
    </row>
    <row r="111" spans="3:12" ht="12" customHeight="1" x14ac:dyDescent="0.2">
      <c r="C111" s="370"/>
    </row>
    <row r="113" spans="3:9" ht="12" customHeight="1" x14ac:dyDescent="0.2">
      <c r="C113" s="372"/>
    </row>
    <row r="121" spans="3:9" ht="12" customHeight="1" x14ac:dyDescent="0.2">
      <c r="C121" s="372" t="s">
        <v>204</v>
      </c>
    </row>
    <row r="123" spans="3:9" ht="12" customHeight="1" x14ac:dyDescent="0.2">
      <c r="C123" s="370" t="s">
        <v>205</v>
      </c>
      <c r="D123" s="370" t="s">
        <v>206</v>
      </c>
    </row>
    <row r="124" spans="3:9" ht="12" customHeight="1" x14ac:dyDescent="0.2">
      <c r="C124" s="370" t="s">
        <v>207</v>
      </c>
      <c r="D124" s="375" t="s">
        <v>70</v>
      </c>
      <c r="E124" s="375" t="s">
        <v>70</v>
      </c>
      <c r="F124" s="375" t="s">
        <v>70</v>
      </c>
      <c r="G124" s="375" t="s">
        <v>70</v>
      </c>
      <c r="H124" s="375" t="s">
        <v>70</v>
      </c>
      <c r="I124" s="375" t="s">
        <v>70</v>
      </c>
    </row>
    <row r="125" spans="3:9" ht="12" customHeight="1" x14ac:dyDescent="0.2">
      <c r="C125" s="370" t="s">
        <v>208</v>
      </c>
      <c r="D125" s="372" t="s">
        <v>209</v>
      </c>
    </row>
    <row r="126" spans="3:9" ht="12" customHeight="1" x14ac:dyDescent="0.2">
      <c r="C126" s="370" t="s">
        <v>210</v>
      </c>
      <c r="D126" s="372" t="s">
        <v>211</v>
      </c>
    </row>
    <row r="127" spans="3:9" ht="12" customHeight="1" x14ac:dyDescent="0.2">
      <c r="D127" s="376" t="s">
        <v>212</v>
      </c>
    </row>
    <row r="128" spans="3:9" ht="12" customHeight="1" x14ac:dyDescent="0.2">
      <c r="C128" s="370" t="s">
        <v>213</v>
      </c>
      <c r="D128" s="372" t="s">
        <v>214</v>
      </c>
    </row>
    <row r="129" spans="3:9" ht="12" customHeight="1" x14ac:dyDescent="0.2">
      <c r="C129" s="370" t="s">
        <v>215</v>
      </c>
      <c r="D129" s="370" t="s">
        <v>216</v>
      </c>
    </row>
    <row r="130" spans="3:9" ht="12" customHeight="1" x14ac:dyDescent="0.2">
      <c r="D130" s="370" t="s">
        <v>217</v>
      </c>
    </row>
    <row r="131" spans="3:9" ht="12" customHeight="1" x14ac:dyDescent="0.2">
      <c r="D131" s="370" t="s">
        <v>218</v>
      </c>
    </row>
    <row r="132" spans="3:9" ht="12" customHeight="1" x14ac:dyDescent="0.2">
      <c r="D132" s="370" t="s">
        <v>219</v>
      </c>
    </row>
    <row r="133" spans="3:9" ht="12" customHeight="1" x14ac:dyDescent="0.2">
      <c r="D133" s="370" t="s">
        <v>220</v>
      </c>
    </row>
    <row r="134" spans="3:9" ht="12" customHeight="1" x14ac:dyDescent="0.2">
      <c r="C134" s="370" t="s">
        <v>221</v>
      </c>
      <c r="D134" s="372" t="s">
        <v>222</v>
      </c>
    </row>
    <row r="135" spans="3:9" ht="12" customHeight="1" x14ac:dyDescent="0.2">
      <c r="D135" s="370" t="s">
        <v>223</v>
      </c>
    </row>
    <row r="136" spans="3:9" ht="12" customHeight="1" x14ac:dyDescent="0.2">
      <c r="C136" s="370" t="s">
        <v>224</v>
      </c>
      <c r="D136" s="372" t="s">
        <v>225</v>
      </c>
    </row>
    <row r="137" spans="3:9" ht="12" customHeight="1" x14ac:dyDescent="0.2">
      <c r="C137" s="370" t="s">
        <v>55</v>
      </c>
      <c r="D137" s="372" t="s">
        <v>226</v>
      </c>
    </row>
    <row r="139" spans="3:9" ht="12" customHeight="1" x14ac:dyDescent="0.2">
      <c r="C139" s="372" t="s">
        <v>203</v>
      </c>
    </row>
    <row r="141" spans="3:9" ht="12" customHeight="1" x14ac:dyDescent="0.2">
      <c r="C141" s="372" t="s">
        <v>227</v>
      </c>
    </row>
    <row r="143" spans="3:9" ht="12" customHeight="1" x14ac:dyDescent="0.2">
      <c r="C143" s="370" t="s">
        <v>205</v>
      </c>
      <c r="D143" s="370" t="s">
        <v>206</v>
      </c>
    </row>
    <row r="144" spans="3:9" ht="12" customHeight="1" x14ac:dyDescent="0.2">
      <c r="C144" s="370" t="s">
        <v>207</v>
      </c>
      <c r="D144" s="375" t="s">
        <v>70</v>
      </c>
      <c r="E144" s="375" t="s">
        <v>70</v>
      </c>
      <c r="F144" s="375" t="s">
        <v>70</v>
      </c>
      <c r="G144" s="375" t="s">
        <v>70</v>
      </c>
      <c r="H144" s="375" t="s">
        <v>70</v>
      </c>
      <c r="I144" s="375" t="s">
        <v>70</v>
      </c>
    </row>
    <row r="145" spans="3:4" ht="12" customHeight="1" x14ac:dyDescent="0.2">
      <c r="C145" s="370" t="s">
        <v>228</v>
      </c>
      <c r="D145" s="372" t="s">
        <v>229</v>
      </c>
    </row>
    <row r="146" spans="3:4" ht="12" customHeight="1" x14ac:dyDescent="0.2">
      <c r="D146" s="370" t="s">
        <v>230</v>
      </c>
    </row>
    <row r="147" spans="3:4" ht="12" customHeight="1" x14ac:dyDescent="0.2">
      <c r="C147" s="370" t="s">
        <v>231</v>
      </c>
      <c r="D147" s="372" t="s">
        <v>232</v>
      </c>
    </row>
    <row r="148" spans="3:4" ht="12" customHeight="1" x14ac:dyDescent="0.2">
      <c r="D148" s="370" t="s">
        <v>233</v>
      </c>
    </row>
    <row r="149" spans="3:4" ht="12" customHeight="1" x14ac:dyDescent="0.2">
      <c r="C149" s="370" t="s">
        <v>234</v>
      </c>
      <c r="D149" s="370" t="s">
        <v>235</v>
      </c>
    </row>
    <row r="150" spans="3:4" ht="12" customHeight="1" x14ac:dyDescent="0.2">
      <c r="C150" s="370" t="s">
        <v>236</v>
      </c>
      <c r="D150" s="370" t="s">
        <v>237</v>
      </c>
    </row>
    <row r="152" spans="3:4" ht="12" customHeight="1" x14ac:dyDescent="0.2">
      <c r="C152" s="370" t="s">
        <v>238</v>
      </c>
      <c r="D152" s="370" t="s">
        <v>239</v>
      </c>
    </row>
    <row r="153" spans="3:4" ht="12" customHeight="1" x14ac:dyDescent="0.2">
      <c r="D153" s="370" t="s">
        <v>240</v>
      </c>
    </row>
    <row r="154" spans="3:4" ht="12" customHeight="1" x14ac:dyDescent="0.2">
      <c r="D154" s="370" t="s">
        <v>241</v>
      </c>
    </row>
    <row r="155" spans="3:4" ht="12" customHeight="1" x14ac:dyDescent="0.2">
      <c r="D155" s="370" t="s">
        <v>242</v>
      </c>
    </row>
    <row r="156" spans="3:4" ht="12" customHeight="1" x14ac:dyDescent="0.2">
      <c r="D156" s="370" t="s">
        <v>243</v>
      </c>
    </row>
    <row r="157" spans="3:4" ht="12" customHeight="1" x14ac:dyDescent="0.2">
      <c r="D157" s="370" t="s">
        <v>244</v>
      </c>
    </row>
    <row r="158" spans="3:4" ht="12" customHeight="1" x14ac:dyDescent="0.2">
      <c r="D158" s="370" t="s">
        <v>245</v>
      </c>
    </row>
    <row r="160" spans="3:4" ht="12" customHeight="1" x14ac:dyDescent="0.2">
      <c r="C160" s="372" t="s">
        <v>203</v>
      </c>
    </row>
    <row r="161" spans="3:9" ht="12" customHeight="1" x14ac:dyDescent="0.2">
      <c r="C161" s="372" t="s">
        <v>227</v>
      </c>
    </row>
    <row r="163" spans="3:9" ht="12" customHeight="1" x14ac:dyDescent="0.2">
      <c r="C163" s="370" t="s">
        <v>205</v>
      </c>
      <c r="D163" s="370" t="s">
        <v>206</v>
      </c>
    </row>
    <row r="164" spans="3:9" ht="12" customHeight="1" x14ac:dyDescent="0.2">
      <c r="C164" s="370" t="s">
        <v>207</v>
      </c>
      <c r="D164" s="375" t="s">
        <v>70</v>
      </c>
      <c r="E164" s="375" t="s">
        <v>70</v>
      </c>
      <c r="F164" s="375" t="s">
        <v>70</v>
      </c>
      <c r="G164" s="375" t="s">
        <v>70</v>
      </c>
      <c r="H164" s="375" t="s">
        <v>70</v>
      </c>
      <c r="I164" s="375" t="s">
        <v>70</v>
      </c>
    </row>
    <row r="165" spans="3:9" ht="12" customHeight="1" x14ac:dyDescent="0.2">
      <c r="C165" s="370" t="s">
        <v>246</v>
      </c>
      <c r="D165" s="370" t="s">
        <v>247</v>
      </c>
    </row>
    <row r="166" spans="3:9" ht="12" customHeight="1" x14ac:dyDescent="0.2">
      <c r="C166" s="370" t="s">
        <v>248</v>
      </c>
      <c r="D166" s="372" t="s">
        <v>249</v>
      </c>
    </row>
    <row r="167" spans="3:9" ht="12" customHeight="1" x14ac:dyDescent="0.2">
      <c r="D167" s="370" t="s">
        <v>250</v>
      </c>
    </row>
    <row r="169" spans="3:9" ht="12" customHeight="1" x14ac:dyDescent="0.2">
      <c r="C169" s="372" t="s">
        <v>203</v>
      </c>
    </row>
    <row r="181" spans="3:9" ht="12" customHeight="1" x14ac:dyDescent="0.2">
      <c r="C181" s="370" t="s">
        <v>251</v>
      </c>
    </row>
    <row r="182" spans="3:9" ht="12" customHeight="1" x14ac:dyDescent="0.2">
      <c r="C182" s="370" t="s">
        <v>55</v>
      </c>
    </row>
    <row r="183" spans="3:9" ht="12" customHeight="1" x14ac:dyDescent="0.2">
      <c r="C183" s="370" t="s">
        <v>205</v>
      </c>
      <c r="D183" s="370" t="s">
        <v>206</v>
      </c>
    </row>
    <row r="184" spans="3:9" ht="12" customHeight="1" x14ac:dyDescent="0.2">
      <c r="C184" s="370" t="s">
        <v>207</v>
      </c>
      <c r="D184" s="375" t="s">
        <v>70</v>
      </c>
      <c r="E184" s="375" t="s">
        <v>70</v>
      </c>
      <c r="F184" s="375" t="s">
        <v>70</v>
      </c>
      <c r="G184" s="375" t="s">
        <v>70</v>
      </c>
      <c r="H184" s="375" t="s">
        <v>70</v>
      </c>
      <c r="I184" s="375" t="s">
        <v>70</v>
      </c>
    </row>
    <row r="185" spans="3:9" ht="12" customHeight="1" x14ac:dyDescent="0.2">
      <c r="C185" s="370" t="s">
        <v>252</v>
      </c>
      <c r="D185" s="370" t="s">
        <v>253</v>
      </c>
    </row>
    <row r="186" spans="3:9" ht="12" customHeight="1" x14ac:dyDescent="0.2">
      <c r="C186" s="370" t="s">
        <v>254</v>
      </c>
      <c r="D186" s="370" t="s">
        <v>255</v>
      </c>
    </row>
    <row r="190" spans="3:9" ht="12" customHeight="1" x14ac:dyDescent="0.2">
      <c r="C190" s="370" t="s">
        <v>256</v>
      </c>
      <c r="D190" s="377"/>
    </row>
    <row r="192" spans="3:9" ht="12" customHeight="1" x14ac:dyDescent="0.2">
      <c r="C192" s="370" t="s">
        <v>257</v>
      </c>
      <c r="D192" s="370" t="s">
        <v>206</v>
      </c>
    </row>
    <row r="193" spans="3:9" ht="12" customHeight="1" x14ac:dyDescent="0.2">
      <c r="C193" s="370" t="s">
        <v>258</v>
      </c>
      <c r="D193" s="375" t="s">
        <v>70</v>
      </c>
      <c r="E193" s="375" t="s">
        <v>70</v>
      </c>
      <c r="F193" s="375" t="s">
        <v>70</v>
      </c>
      <c r="G193" s="375" t="s">
        <v>70</v>
      </c>
      <c r="H193" s="375" t="s">
        <v>70</v>
      </c>
      <c r="I193" s="375" t="s">
        <v>70</v>
      </c>
    </row>
    <row r="194" spans="3:9" ht="12" customHeight="1" x14ac:dyDescent="0.2">
      <c r="C194" s="370" t="s">
        <v>259</v>
      </c>
      <c r="D194" s="372" t="s">
        <v>260</v>
      </c>
    </row>
    <row r="195" spans="3:9" ht="12" customHeight="1" x14ac:dyDescent="0.2">
      <c r="C195" s="370" t="s">
        <v>261</v>
      </c>
      <c r="D195" s="372" t="s">
        <v>262</v>
      </c>
    </row>
    <row r="197" spans="3:9" ht="12" customHeight="1" x14ac:dyDescent="0.2">
      <c r="C197" s="372" t="s">
        <v>263</v>
      </c>
    </row>
    <row r="201" spans="3:9" ht="12" customHeight="1" x14ac:dyDescent="0.2">
      <c r="C201" s="370"/>
    </row>
    <row r="202" spans="3:9" ht="12" customHeight="1" x14ac:dyDescent="0.2">
      <c r="C202" s="370"/>
    </row>
    <row r="203" spans="3:9" ht="12" customHeight="1" x14ac:dyDescent="0.2">
      <c r="C203" s="370"/>
    </row>
    <row r="204" spans="3:9" ht="12" customHeight="1" x14ac:dyDescent="0.2">
      <c r="C204" s="370"/>
    </row>
    <row r="205" spans="3:9" ht="12" customHeight="1" x14ac:dyDescent="0.2">
      <c r="C205" s="370"/>
    </row>
    <row r="206" spans="3:9" ht="12" customHeight="1" x14ac:dyDescent="0.2">
      <c r="C206" s="370"/>
    </row>
    <row r="207" spans="3:9" ht="12" customHeight="1" x14ac:dyDescent="0.2">
      <c r="C207" s="370"/>
      <c r="F207" s="377"/>
    </row>
    <row r="208" spans="3:9" ht="12" customHeight="1" x14ac:dyDescent="0.2">
      <c r="C208" s="370"/>
    </row>
    <row r="209" spans="3:3" ht="12" customHeight="1" x14ac:dyDescent="0.2">
      <c r="C209" s="370"/>
    </row>
    <row r="210" spans="3:3" ht="12" customHeight="1" x14ac:dyDescent="0.2">
      <c r="C210" s="370"/>
    </row>
    <row r="211" spans="3:3" ht="12" customHeight="1" x14ac:dyDescent="0.2">
      <c r="C211" s="370"/>
    </row>
    <row r="212" spans="3:3" ht="12" customHeight="1" x14ac:dyDescent="0.2">
      <c r="C212" s="370"/>
    </row>
    <row r="213" spans="3:3" ht="12" customHeight="1" x14ac:dyDescent="0.2">
      <c r="C213" s="370"/>
    </row>
    <row r="214" spans="3:3" ht="12" customHeight="1" x14ac:dyDescent="0.2">
      <c r="C214" s="370"/>
    </row>
    <row r="215" spans="3:3" ht="12" customHeight="1" x14ac:dyDescent="0.2">
      <c r="C215" s="370"/>
    </row>
    <row r="216" spans="3:3" ht="12" customHeight="1" x14ac:dyDescent="0.2">
      <c r="C216" s="370"/>
    </row>
    <row r="217" spans="3:3" ht="12" customHeight="1" x14ac:dyDescent="0.2">
      <c r="C217" s="370"/>
    </row>
    <row r="218" spans="3:3" ht="12" customHeight="1" x14ac:dyDescent="0.2">
      <c r="C218" s="370"/>
    </row>
    <row r="219" spans="3:3" ht="12" customHeight="1" x14ac:dyDescent="0.2">
      <c r="C219" s="370"/>
    </row>
    <row r="220" spans="3:3" ht="12" customHeight="1" x14ac:dyDescent="0.2">
      <c r="C220" s="370"/>
    </row>
    <row r="230" spans="3:12" ht="12" customHeight="1" x14ac:dyDescent="0.2">
      <c r="C230" s="370" t="s">
        <v>264</v>
      </c>
    </row>
    <row r="231" spans="3:12" ht="12" customHeight="1" x14ac:dyDescent="0.2">
      <c r="C231" s="375" t="s">
        <v>70</v>
      </c>
      <c r="D231" s="375" t="s">
        <v>70</v>
      </c>
      <c r="E231" s="375" t="s">
        <v>70</v>
      </c>
      <c r="F231" s="375" t="s">
        <v>70</v>
      </c>
      <c r="G231" s="375" t="s">
        <v>70</v>
      </c>
      <c r="H231" s="375" t="s">
        <v>70</v>
      </c>
      <c r="I231" s="375" t="s">
        <v>70</v>
      </c>
      <c r="J231" s="375" t="s">
        <v>70</v>
      </c>
      <c r="K231" s="375" t="s">
        <v>70</v>
      </c>
      <c r="L231" s="375" t="s">
        <v>70</v>
      </c>
    </row>
    <row r="232" spans="3:12" ht="12" customHeight="1" x14ac:dyDescent="0.2">
      <c r="C232" s="370" t="s">
        <v>265</v>
      </c>
    </row>
    <row r="233" spans="3:12" ht="12" customHeight="1" x14ac:dyDescent="0.2">
      <c r="C233" s="375" t="s">
        <v>70</v>
      </c>
      <c r="D233" s="375" t="s">
        <v>70</v>
      </c>
      <c r="E233" s="375" t="s">
        <v>70</v>
      </c>
      <c r="F233" s="375" t="s">
        <v>70</v>
      </c>
      <c r="G233" s="375" t="s">
        <v>70</v>
      </c>
    </row>
    <row r="234" spans="3:12" ht="12" customHeight="1" x14ac:dyDescent="0.2">
      <c r="D234" s="370" t="s">
        <v>266</v>
      </c>
    </row>
    <row r="235" spans="3:12" ht="12" customHeight="1" x14ac:dyDescent="0.2">
      <c r="C235" s="370" t="s">
        <v>157</v>
      </c>
      <c r="D235" s="370" t="s">
        <v>267</v>
      </c>
      <c r="E235" s="376" t="s">
        <v>157</v>
      </c>
    </row>
    <row r="236" spans="3:12" ht="12" customHeight="1" x14ac:dyDescent="0.2">
      <c r="C236" s="375" t="s">
        <v>70</v>
      </c>
      <c r="D236" s="375" t="s">
        <v>70</v>
      </c>
      <c r="E236" s="375" t="s">
        <v>70</v>
      </c>
      <c r="F236" s="375" t="s">
        <v>70</v>
      </c>
      <c r="G236" s="375" t="s">
        <v>70</v>
      </c>
    </row>
    <row r="237" spans="3:12" ht="12" customHeight="1" x14ac:dyDescent="0.2">
      <c r="C237" s="371">
        <v>65</v>
      </c>
      <c r="D237" s="371" t="e">
        <f>IF(#REF!&gt;0,0,IF(AND(#REF!&gt;0,#REF!=0),1,2))</f>
        <v>#REF!</v>
      </c>
      <c r="E237" s="371">
        <v>65</v>
      </c>
    </row>
    <row r="238" spans="3:12" ht="12" customHeight="1" x14ac:dyDescent="0.2">
      <c r="C238" s="371">
        <v>70</v>
      </c>
      <c r="D238" s="371" t="e">
        <f>IF(#REF!&gt;0,0,IF(AND(#REF!&gt;0,#REF!=0),1,2))</f>
        <v>#REF!</v>
      </c>
      <c r="E238" s="371">
        <v>70</v>
      </c>
    </row>
    <row r="239" spans="3:12" ht="12" customHeight="1" x14ac:dyDescent="0.2">
      <c r="C239" s="371">
        <v>75</v>
      </c>
      <c r="D239" s="371" t="e">
        <f>IF(#REF!&gt;0,0,IF(AND(#REF!&gt;0,#REF!=0),1,2))</f>
        <v>#REF!</v>
      </c>
      <c r="E239" s="371">
        <v>75</v>
      </c>
    </row>
    <row r="240" spans="3:12" ht="12" customHeight="1" x14ac:dyDescent="0.2">
      <c r="C240" s="371">
        <v>80</v>
      </c>
      <c r="D240" s="371" t="e">
        <f>IF(#REF!&gt;0,0,IF(AND(#REF!&gt;0,#REF!=0),1,2))</f>
        <v>#REF!</v>
      </c>
      <c r="E240" s="371">
        <v>80</v>
      </c>
    </row>
    <row r="241" spans="3:11" ht="12" customHeight="1" x14ac:dyDescent="0.2">
      <c r="C241" s="371">
        <v>85</v>
      </c>
      <c r="D241" s="371" t="e">
        <f>IF(#REF!&gt;0,0,IF(AND(#REF!&gt;0,#REF!=0),1,2))</f>
        <v>#REF!</v>
      </c>
      <c r="E241" s="371">
        <v>85</v>
      </c>
    </row>
    <row r="242" spans="3:11" ht="12" customHeight="1" x14ac:dyDescent="0.2">
      <c r="C242" s="371">
        <v>90</v>
      </c>
      <c r="D242" s="371" t="e">
        <f>IF(#REF!&gt;0,0,IF(AND(#REF!&gt;0,#REF!=0),1,2))</f>
        <v>#REF!</v>
      </c>
      <c r="E242" s="371">
        <v>90</v>
      </c>
    </row>
    <row r="243" spans="3:11" ht="12" customHeight="1" x14ac:dyDescent="0.2">
      <c r="C243" s="371">
        <v>95</v>
      </c>
      <c r="D243" s="371" t="e">
        <f>IF(#REF!&gt;0,0,IF(AND(#REF!&gt;0,#REF!=0),1,2))</f>
        <v>#REF!</v>
      </c>
      <c r="E243" s="371">
        <v>95</v>
      </c>
    </row>
    <row r="244" spans="3:11" ht="12" customHeight="1" x14ac:dyDescent="0.2">
      <c r="C244" s="371">
        <v>100</v>
      </c>
      <c r="D244" s="371" t="e">
        <f>IF(#REF!&gt;0,1,2)</f>
        <v>#REF!</v>
      </c>
      <c r="E244" s="371">
        <v>100</v>
      </c>
    </row>
    <row r="245" spans="3:11" ht="12" customHeight="1" x14ac:dyDescent="0.2">
      <c r="C245" s="375" t="s">
        <v>70</v>
      </c>
      <c r="D245" s="375" t="s">
        <v>70</v>
      </c>
      <c r="E245" s="375" t="s">
        <v>70</v>
      </c>
      <c r="F245" s="375" t="s">
        <v>70</v>
      </c>
      <c r="G245" s="375" t="s">
        <v>70</v>
      </c>
    </row>
    <row r="247" spans="3:11" ht="12" customHeight="1" x14ac:dyDescent="0.2">
      <c r="C247" s="370" t="s">
        <v>268</v>
      </c>
      <c r="G247" s="371" t="e">
        <f>1+#REF!</f>
        <v>#REF!</v>
      </c>
    </row>
    <row r="250" spans="3:11" ht="12" customHeight="1" x14ac:dyDescent="0.2">
      <c r="C250" s="370" t="s">
        <v>269</v>
      </c>
    </row>
    <row r="251" spans="3:11" ht="12" customHeight="1" x14ac:dyDescent="0.2">
      <c r="C251" s="375" t="s">
        <v>70</v>
      </c>
      <c r="D251" s="375" t="s">
        <v>70</v>
      </c>
      <c r="E251" s="375" t="s">
        <v>70</v>
      </c>
      <c r="F251" s="375" t="s">
        <v>70</v>
      </c>
      <c r="G251" s="375" t="s">
        <v>70</v>
      </c>
      <c r="H251" s="375" t="s">
        <v>70</v>
      </c>
      <c r="I251" s="375" t="s">
        <v>70</v>
      </c>
      <c r="J251" s="375" t="s">
        <v>70</v>
      </c>
      <c r="K251" s="375" t="s">
        <v>70</v>
      </c>
    </row>
    <row r="252" spans="3:11" ht="12" customHeight="1" x14ac:dyDescent="0.2">
      <c r="F252" s="370" t="s">
        <v>270</v>
      </c>
      <c r="I252" s="370" t="s">
        <v>271</v>
      </c>
    </row>
    <row r="253" spans="3:11" ht="12" customHeight="1" x14ac:dyDescent="0.2">
      <c r="C253" s="370" t="s">
        <v>272</v>
      </c>
      <c r="F253" s="376" t="s">
        <v>273</v>
      </c>
      <c r="I253" s="376" t="s">
        <v>273</v>
      </c>
    </row>
    <row r="254" spans="3:11" ht="12" customHeight="1" x14ac:dyDescent="0.2">
      <c r="C254" s="370" t="s">
        <v>274</v>
      </c>
      <c r="F254" s="371">
        <v>1</v>
      </c>
      <c r="G254" s="371">
        <v>2</v>
      </c>
      <c r="H254" s="371">
        <v>3</v>
      </c>
      <c r="I254" s="371">
        <v>1</v>
      </c>
      <c r="J254" s="371">
        <v>2</v>
      </c>
      <c r="K254" s="371">
        <v>3</v>
      </c>
    </row>
    <row r="255" spans="3:11" ht="12" customHeight="1" x14ac:dyDescent="0.2">
      <c r="C255" s="375" t="s">
        <v>70</v>
      </c>
      <c r="D255" s="375" t="s">
        <v>70</v>
      </c>
      <c r="E255" s="375" t="s">
        <v>70</v>
      </c>
      <c r="F255" s="375" t="s">
        <v>70</v>
      </c>
      <c r="G255" s="375" t="s">
        <v>70</v>
      </c>
      <c r="H255" s="375" t="s">
        <v>70</v>
      </c>
      <c r="I255" s="375" t="s">
        <v>70</v>
      </c>
      <c r="J255" s="375" t="s">
        <v>70</v>
      </c>
      <c r="K255" s="375" t="s">
        <v>70</v>
      </c>
    </row>
    <row r="256" spans="3:11" ht="12" customHeight="1" x14ac:dyDescent="0.2">
      <c r="C256" s="370" t="s">
        <v>275</v>
      </c>
    </row>
    <row r="257" spans="3:11" ht="12" customHeight="1" x14ac:dyDescent="0.2">
      <c r="C257" s="370" t="s">
        <v>276</v>
      </c>
    </row>
    <row r="258" spans="3:11" ht="12" customHeight="1" x14ac:dyDescent="0.2">
      <c r="C258" s="376" t="s">
        <v>277</v>
      </c>
      <c r="F258" s="371">
        <v>0.33</v>
      </c>
      <c r="G258" s="371">
        <v>0.35</v>
      </c>
      <c r="H258" s="378" t="e">
        <f>(F258*#REF!+G258)/$G$247</f>
        <v>#REF!</v>
      </c>
      <c r="I258" s="379">
        <v>1.3520000000000001</v>
      </c>
      <c r="J258" s="379">
        <v>1.361</v>
      </c>
      <c r="K258" s="378" t="e">
        <f>(I258*#REF!+J258)/$G$247</f>
        <v>#REF!</v>
      </c>
    </row>
    <row r="259" spans="3:11" ht="12" customHeight="1" x14ac:dyDescent="0.2">
      <c r="C259" s="376" t="s">
        <v>278</v>
      </c>
      <c r="F259" s="371">
        <v>0.33</v>
      </c>
      <c r="G259" s="371">
        <v>0.35</v>
      </c>
      <c r="H259" s="378" t="e">
        <f>(F259*#REF!+G259)/$G$247</f>
        <v>#REF!</v>
      </c>
      <c r="I259" s="379">
        <v>1.5580000000000001</v>
      </c>
      <c r="J259" s="379">
        <v>1.57</v>
      </c>
      <c r="K259" s="378" t="e">
        <f>(I259*#REF!+J259)/$G$247</f>
        <v>#REF!</v>
      </c>
    </row>
    <row r="260" spans="3:11" ht="12" customHeight="1" x14ac:dyDescent="0.2">
      <c r="C260" s="376" t="s">
        <v>279</v>
      </c>
      <c r="F260" s="371">
        <v>0.28999999999999998</v>
      </c>
      <c r="G260" s="371">
        <v>0.31</v>
      </c>
      <c r="H260" s="378" t="e">
        <f>(F260*#REF!+G260)/$G$247</f>
        <v>#REF!</v>
      </c>
      <c r="I260" s="379">
        <v>1.3129999999999999</v>
      </c>
      <c r="J260" s="379">
        <v>1.3240000000000001</v>
      </c>
      <c r="K260" s="378" t="e">
        <f>(I260*#REF!+J260)/$G$247</f>
        <v>#REF!</v>
      </c>
    </row>
    <row r="261" spans="3:11" ht="12" customHeight="1" x14ac:dyDescent="0.2">
      <c r="C261" s="376" t="s">
        <v>280</v>
      </c>
      <c r="F261" s="371">
        <v>0.33</v>
      </c>
      <c r="G261" s="371">
        <v>0.35</v>
      </c>
      <c r="H261" s="378" t="e">
        <f>(F261*#REF!+G261)/$G$247</f>
        <v>#REF!</v>
      </c>
      <c r="I261" s="379">
        <v>1.24</v>
      </c>
      <c r="J261" s="379">
        <v>1.2390000000000001</v>
      </c>
      <c r="K261" s="378" t="e">
        <f>(I261*#REF!+J261)/$G$247</f>
        <v>#REF!</v>
      </c>
    </row>
    <row r="263" spans="3:11" ht="12" customHeight="1" x14ac:dyDescent="0.2">
      <c r="C263" s="370" t="s">
        <v>281</v>
      </c>
    </row>
    <row r="264" spans="3:11" ht="12" customHeight="1" x14ac:dyDescent="0.2">
      <c r="C264" s="370" t="s">
        <v>282</v>
      </c>
      <c r="H264" s="378"/>
      <c r="K264" s="378"/>
    </row>
    <row r="265" spans="3:11" ht="12" customHeight="1" x14ac:dyDescent="0.2">
      <c r="C265" s="376" t="s">
        <v>277</v>
      </c>
      <c r="F265" s="371">
        <v>4.2500000000000003E-2</v>
      </c>
      <c r="G265" s="371">
        <v>0.05</v>
      </c>
      <c r="H265" s="378" t="e">
        <f>(F265*#REF!+G265)/$G$247</f>
        <v>#REF!</v>
      </c>
      <c r="I265" s="371">
        <v>1.653</v>
      </c>
      <c r="J265" s="371">
        <v>1.524</v>
      </c>
      <c r="K265" s="378" t="e">
        <f>(I265*#REF!+J265)/$G$247</f>
        <v>#REF!</v>
      </c>
    </row>
    <row r="266" spans="3:11" ht="12" customHeight="1" x14ac:dyDescent="0.2">
      <c r="C266" s="376" t="s">
        <v>278</v>
      </c>
      <c r="F266" s="371">
        <v>4.2500000000000003E-2</v>
      </c>
      <c r="G266" s="371">
        <v>0.05</v>
      </c>
      <c r="H266" s="378" t="e">
        <f>(F266*#REF!+G266)/$G$247</f>
        <v>#REF!</v>
      </c>
      <c r="I266" s="371">
        <v>1.859</v>
      </c>
      <c r="J266" s="371">
        <v>1.7330000000000001</v>
      </c>
      <c r="K266" s="378" t="e">
        <f>(I266*#REF!+J266)/$G$247</f>
        <v>#REF!</v>
      </c>
    </row>
    <row r="267" spans="3:11" ht="12" customHeight="1" x14ac:dyDescent="0.2">
      <c r="C267" s="376" t="s">
        <v>279</v>
      </c>
      <c r="F267" s="371">
        <v>2.5000000000000001E-3</v>
      </c>
      <c r="G267" s="371">
        <v>0.01</v>
      </c>
      <c r="H267" s="378" t="e">
        <f>(F267*#REF!+G267)/$G$247</f>
        <v>#REF!</v>
      </c>
      <c r="I267" s="371">
        <v>1.6140000000000001</v>
      </c>
      <c r="J267" s="371">
        <v>1.4870000000000001</v>
      </c>
      <c r="K267" s="378" t="e">
        <f>(I267*#REF!+J267)/$G$247</f>
        <v>#REF!</v>
      </c>
    </row>
    <row r="268" spans="3:11" ht="12" customHeight="1" x14ac:dyDescent="0.2">
      <c r="C268" s="376" t="s">
        <v>280</v>
      </c>
      <c r="F268" s="371">
        <v>4.2500000000000003E-2</v>
      </c>
      <c r="G268" s="371">
        <v>0.05</v>
      </c>
      <c r="H268" s="378" t="e">
        <f>(F268*#REF!+G268)/$G$247</f>
        <v>#REF!</v>
      </c>
      <c r="I268" s="371">
        <v>1.5409999999999999</v>
      </c>
      <c r="J268" s="371">
        <v>1.4019999999999999</v>
      </c>
      <c r="K268" s="378" t="e">
        <f>(I268*#REF!+J268)/$G$247</f>
        <v>#REF!</v>
      </c>
    </row>
    <row r="270" spans="3:11" ht="12" customHeight="1" x14ac:dyDescent="0.2">
      <c r="C270" s="370" t="s">
        <v>283</v>
      </c>
      <c r="F270" s="371">
        <v>2.875</v>
      </c>
      <c r="G270" s="379">
        <v>3</v>
      </c>
      <c r="H270" s="378" t="e">
        <f>(F270*#REF!+G270)/$G$247</f>
        <v>#REF!</v>
      </c>
      <c r="I270" s="371">
        <v>3.0129999999999999</v>
      </c>
      <c r="J270" s="371">
        <v>1.627</v>
      </c>
      <c r="K270" s="378" t="e">
        <f>(I270*#REF!+J270)/$G$247</f>
        <v>#REF!</v>
      </c>
    </row>
    <row r="271" spans="3:11" ht="12" customHeight="1" x14ac:dyDescent="0.2">
      <c r="C271" s="375" t="s">
        <v>70</v>
      </c>
      <c r="D271" s="375" t="s">
        <v>70</v>
      </c>
      <c r="E271" s="375" t="s">
        <v>70</v>
      </c>
      <c r="F271" s="375" t="s">
        <v>70</v>
      </c>
      <c r="G271" s="375" t="s">
        <v>70</v>
      </c>
      <c r="H271" s="375" t="s">
        <v>70</v>
      </c>
      <c r="I271" s="375" t="s">
        <v>70</v>
      </c>
      <c r="J271" s="375" t="s">
        <v>70</v>
      </c>
      <c r="K271" s="375" t="s">
        <v>70</v>
      </c>
    </row>
    <row r="273" spans="3:8" ht="12" customHeight="1" x14ac:dyDescent="0.2">
      <c r="C273" s="370" t="s">
        <v>284</v>
      </c>
      <c r="F273" s="371" t="e">
        <f>#REF!/#REF!</f>
        <v>#REF!</v>
      </c>
    </row>
    <row r="275" spans="3:8" ht="12" customHeight="1" x14ac:dyDescent="0.2">
      <c r="C275" s="370" t="s">
        <v>285</v>
      </c>
    </row>
    <row r="276" spans="3:8" ht="12" customHeight="1" x14ac:dyDescent="0.2">
      <c r="C276" s="375" t="s">
        <v>70</v>
      </c>
      <c r="D276" s="375" t="s">
        <v>70</v>
      </c>
      <c r="E276" s="375" t="s">
        <v>70</v>
      </c>
      <c r="F276" s="375" t="s">
        <v>70</v>
      </c>
      <c r="G276" s="375" t="s">
        <v>70</v>
      </c>
      <c r="H276" s="375" t="s">
        <v>70</v>
      </c>
    </row>
    <row r="277" spans="3:8" ht="12" customHeight="1" x14ac:dyDescent="0.2">
      <c r="F277" s="376" t="s">
        <v>155</v>
      </c>
      <c r="H277" s="376" t="s">
        <v>156</v>
      </c>
    </row>
    <row r="278" spans="3:8" ht="12" customHeight="1" x14ac:dyDescent="0.2">
      <c r="C278" s="375" t="s">
        <v>70</v>
      </c>
      <c r="D278" s="375" t="s">
        <v>70</v>
      </c>
      <c r="E278" s="375" t="s">
        <v>70</v>
      </c>
      <c r="F278" s="375" t="s">
        <v>70</v>
      </c>
      <c r="G278" s="375" t="s">
        <v>70</v>
      </c>
      <c r="H278" s="375" t="s">
        <v>70</v>
      </c>
    </row>
    <row r="279" spans="3:8" ht="12" customHeight="1" x14ac:dyDescent="0.2">
      <c r="C279" s="370" t="s">
        <v>275</v>
      </c>
    </row>
    <row r="280" spans="3:8" ht="12" customHeight="1" x14ac:dyDescent="0.2">
      <c r="C280" s="370" t="s">
        <v>286</v>
      </c>
      <c r="F280" s="378" t="e">
        <f>HLOOKUP(#REF!,F254:H261,#REF!+3+1)</f>
        <v>#REF!</v>
      </c>
      <c r="H280" s="378" t="e">
        <f>HLOOKUP(#REF!,I254:J261,#REF!+3+1)</f>
        <v>#REF!</v>
      </c>
    </row>
    <row r="281" spans="3:8" ht="12" customHeight="1" x14ac:dyDescent="0.2">
      <c r="C281" s="370" t="s">
        <v>287</v>
      </c>
      <c r="F281" s="380" t="e">
        <f>IF(#REF!&gt;0,#REF!,F273/(1+(1-F280)*F273))</f>
        <v>#REF!</v>
      </c>
      <c r="H281" s="378"/>
    </row>
    <row r="284" spans="3:8" ht="12" customHeight="1" x14ac:dyDescent="0.2">
      <c r="C284" s="370" t="s">
        <v>281</v>
      </c>
    </row>
    <row r="285" spans="3:8" ht="12" customHeight="1" x14ac:dyDescent="0.2">
      <c r="C285" s="370" t="s">
        <v>288</v>
      </c>
    </row>
    <row r="286" spans="3:8" ht="12" customHeight="1" x14ac:dyDescent="0.2">
      <c r="C286" s="370" t="s">
        <v>289</v>
      </c>
      <c r="F286" s="378" t="e">
        <f>HLOOKUP(#REF!,F254:H268,#REF!+10+1)</f>
        <v>#REF!</v>
      </c>
      <c r="H286" s="378" t="e">
        <f>HLOOKUP(#REF!,I254:K270,#REF!+10+1)</f>
        <v>#REF!</v>
      </c>
    </row>
    <row r="287" spans="3:8" ht="12" customHeight="1" x14ac:dyDescent="0.2">
      <c r="C287" s="370" t="s">
        <v>290</v>
      </c>
      <c r="F287" s="378" t="e">
        <f>HLOOKUP(#REF!,F254:H270,17)</f>
        <v>#REF!</v>
      </c>
      <c r="H287" s="378" t="e">
        <f>HLOOKUP(#REF!,I254:K270,17)</f>
        <v>#REF!</v>
      </c>
    </row>
    <row r="288" spans="3:8" ht="12" customHeight="1" x14ac:dyDescent="0.2">
      <c r="C288" s="370" t="s">
        <v>291</v>
      </c>
      <c r="F288" s="378" t="e">
        <f>F273*F287</f>
        <v>#REF!</v>
      </c>
      <c r="H288" s="378"/>
    </row>
    <row r="289" spans="3:11" ht="12" customHeight="1" x14ac:dyDescent="0.2">
      <c r="C289" s="370" t="s">
        <v>292</v>
      </c>
      <c r="F289" s="378" t="e">
        <f>1+F273*(1-F286)</f>
        <v>#REF!</v>
      </c>
    </row>
    <row r="290" spans="3:11" ht="12" customHeight="1" x14ac:dyDescent="0.2">
      <c r="C290" s="370" t="s">
        <v>293</v>
      </c>
    </row>
    <row r="291" spans="3:11" ht="12" customHeight="1" x14ac:dyDescent="0.2">
      <c r="C291" s="376" t="s">
        <v>294</v>
      </c>
      <c r="F291" s="380" t="e">
        <f>IF(#REF!&gt;0,#REF!,(F289-SQRT(F289^2-4*F288*F273))/(2*F288))</f>
        <v>#REF!</v>
      </c>
      <c r="H291" s="378"/>
    </row>
    <row r="292" spans="3:11" ht="12" customHeight="1" x14ac:dyDescent="0.2">
      <c r="C292" s="376" t="s">
        <v>295</v>
      </c>
      <c r="F292" s="378" t="e">
        <f>F286+F287*F291</f>
        <v>#REF!</v>
      </c>
      <c r="H292" s="378" t="e">
        <f>H286-H287*G9</f>
        <v>#REF!</v>
      </c>
    </row>
    <row r="293" spans="3:11" ht="12" customHeight="1" x14ac:dyDescent="0.2">
      <c r="C293" s="375" t="s">
        <v>70</v>
      </c>
      <c r="D293" s="375" t="s">
        <v>70</v>
      </c>
      <c r="E293" s="375" t="s">
        <v>70</v>
      </c>
      <c r="F293" s="375" t="s">
        <v>70</v>
      </c>
      <c r="G293" s="375" t="s">
        <v>70</v>
      </c>
      <c r="H293" s="375" t="s">
        <v>70</v>
      </c>
      <c r="I293" s="375" t="s">
        <v>70</v>
      </c>
      <c r="J293" s="375" t="s">
        <v>70</v>
      </c>
    </row>
    <row r="296" spans="3:11" ht="12" customHeight="1" x14ac:dyDescent="0.2">
      <c r="E296" s="370" t="s">
        <v>296</v>
      </c>
      <c r="G296" s="371" t="e">
        <f>CHOOSE(#REF!,"  Male","  Female","  Both sexes")</f>
        <v>#REF!</v>
      </c>
    </row>
    <row r="297" spans="3:11" ht="12" customHeight="1" x14ac:dyDescent="0.2">
      <c r="D297" s="375" t="s">
        <v>70</v>
      </c>
      <c r="E297" s="375" t="s">
        <v>70</v>
      </c>
      <c r="F297" s="375" t="s">
        <v>70</v>
      </c>
      <c r="G297" s="375" t="s">
        <v>70</v>
      </c>
      <c r="H297" s="375" t="s">
        <v>70</v>
      </c>
      <c r="I297" s="375" t="s">
        <v>70</v>
      </c>
    </row>
    <row r="298" spans="3:11" ht="12" customHeight="1" x14ac:dyDescent="0.2">
      <c r="D298" s="370" t="s">
        <v>159</v>
      </c>
      <c r="E298" s="376" t="s">
        <v>157</v>
      </c>
      <c r="H298" s="370" t="s">
        <v>297</v>
      </c>
      <c r="I298" s="370" t="s">
        <v>297</v>
      </c>
      <c r="J298" s="376" t="s">
        <v>298</v>
      </c>
      <c r="K298" s="376" t="s">
        <v>298</v>
      </c>
    </row>
    <row r="299" spans="3:11" ht="12" customHeight="1" x14ac:dyDescent="0.2">
      <c r="D299" s="370" t="s">
        <v>121</v>
      </c>
      <c r="E299" s="376" t="s">
        <v>299</v>
      </c>
      <c r="F299" s="376" t="s">
        <v>162</v>
      </c>
      <c r="G299" s="370" t="s">
        <v>164</v>
      </c>
      <c r="H299" s="370" t="s">
        <v>162</v>
      </c>
      <c r="I299" s="370" t="s">
        <v>164</v>
      </c>
      <c r="J299" s="376" t="s">
        <v>162</v>
      </c>
      <c r="K299" s="376" t="s">
        <v>164</v>
      </c>
    </row>
    <row r="300" spans="3:11" ht="12" customHeight="1" x14ac:dyDescent="0.2">
      <c r="D300" s="375" t="s">
        <v>70</v>
      </c>
      <c r="E300" s="375" t="s">
        <v>70</v>
      </c>
      <c r="F300" s="375" t="s">
        <v>70</v>
      </c>
      <c r="G300" s="375" t="s">
        <v>70</v>
      </c>
      <c r="H300" s="375" t="s">
        <v>70</v>
      </c>
      <c r="I300" s="375" t="s">
        <v>70</v>
      </c>
    </row>
    <row r="301" spans="3:11" ht="12" customHeight="1" x14ac:dyDescent="0.2">
      <c r="D301" s="371">
        <v>0</v>
      </c>
      <c r="E301" s="377">
        <v>0.5</v>
      </c>
      <c r="F301" s="377">
        <f t="shared" ref="F301:F314" si="19">E9</f>
        <v>8.4182634124276012E-3</v>
      </c>
      <c r="G301" s="377">
        <f t="shared" ref="G301:G314" si="20">G9</f>
        <v>8.3532219570405727E-3</v>
      </c>
      <c r="H301" s="377">
        <f t="shared" ref="H301:H314" si="21">E54</f>
        <v>8.4182634124276012E-3</v>
      </c>
      <c r="I301" s="377">
        <f t="shared" ref="I301:I314" si="22">G54</f>
        <v>8.3532219570405727E-3</v>
      </c>
      <c r="J301" s="371">
        <f t="shared" ref="J301:K314" si="23">MINA(F301,H301)</f>
        <v>8.4182634124276012E-3</v>
      </c>
      <c r="K301" s="371">
        <f t="shared" si="23"/>
        <v>8.3532219570405727E-3</v>
      </c>
    </row>
    <row r="302" spans="3:11" ht="12" customHeight="1" x14ac:dyDescent="0.2">
      <c r="D302" s="371">
        <v>1</v>
      </c>
      <c r="E302" s="377">
        <v>3</v>
      </c>
      <c r="F302" s="377">
        <f t="shared" si="19"/>
        <v>0</v>
      </c>
      <c r="G302" s="377">
        <f t="shared" si="20"/>
        <v>0</v>
      </c>
      <c r="H302" s="377" t="e">
        <f t="shared" si="21"/>
        <v>#REF!</v>
      </c>
      <c r="I302" s="377" t="e">
        <f t="shared" si="22"/>
        <v>#REF!</v>
      </c>
      <c r="J302" s="371" t="e">
        <f t="shared" si="23"/>
        <v>#REF!</v>
      </c>
      <c r="K302" s="371" t="e">
        <f t="shared" si="23"/>
        <v>#REF!</v>
      </c>
    </row>
    <row r="303" spans="3:11" ht="12" customHeight="1" x14ac:dyDescent="0.2">
      <c r="D303" s="371">
        <v>5</v>
      </c>
      <c r="E303" s="377">
        <f t="shared" ref="E303:E314" si="24">D303+F11</f>
        <v>7.5</v>
      </c>
      <c r="F303" s="377">
        <f t="shared" si="19"/>
        <v>2.7094468134177961E-4</v>
      </c>
      <c r="G303" s="377">
        <f t="shared" si="20"/>
        <v>1.3538063901064835E-3</v>
      </c>
      <c r="H303" s="377" t="e">
        <f t="shared" si="21"/>
        <v>#REF!</v>
      </c>
      <c r="I303" s="377" t="e">
        <f t="shared" si="22"/>
        <v>#REF!</v>
      </c>
      <c r="J303" s="371" t="e">
        <f t="shared" si="23"/>
        <v>#REF!</v>
      </c>
      <c r="K303" s="371" t="e">
        <f t="shared" si="23"/>
        <v>#REF!</v>
      </c>
    </row>
    <row r="304" spans="3:11" ht="12" customHeight="1" x14ac:dyDescent="0.2">
      <c r="D304" s="371">
        <v>10</v>
      </c>
      <c r="E304" s="377">
        <f t="shared" si="24"/>
        <v>12.5</v>
      </c>
      <c r="F304" s="377">
        <f t="shared" si="19"/>
        <v>0</v>
      </c>
      <c r="G304" s="377">
        <f t="shared" si="20"/>
        <v>0</v>
      </c>
      <c r="H304" s="377" t="e">
        <f t="shared" si="21"/>
        <v>#REF!</v>
      </c>
      <c r="I304" s="377" t="e">
        <f t="shared" si="22"/>
        <v>#REF!</v>
      </c>
      <c r="J304" s="371" t="e">
        <f t="shared" si="23"/>
        <v>#REF!</v>
      </c>
      <c r="K304" s="371" t="e">
        <f t="shared" si="23"/>
        <v>#REF!</v>
      </c>
    </row>
    <row r="305" spans="4:11" ht="12" customHeight="1" x14ac:dyDescent="0.2">
      <c r="D305" s="371">
        <v>15</v>
      </c>
      <c r="E305" s="377">
        <f t="shared" si="24"/>
        <v>17.5</v>
      </c>
      <c r="F305" s="377">
        <f t="shared" si="19"/>
        <v>0</v>
      </c>
      <c r="G305" s="377">
        <f t="shared" si="20"/>
        <v>0</v>
      </c>
      <c r="H305" s="377" t="e">
        <f t="shared" si="21"/>
        <v>#REF!</v>
      </c>
      <c r="I305" s="377" t="e">
        <f t="shared" si="22"/>
        <v>#REF!</v>
      </c>
      <c r="J305" s="371" t="e">
        <f t="shared" si="23"/>
        <v>#REF!</v>
      </c>
      <c r="K305" s="371" t="e">
        <f t="shared" si="23"/>
        <v>#REF!</v>
      </c>
    </row>
    <row r="306" spans="4:11" ht="12" customHeight="1" x14ac:dyDescent="0.2">
      <c r="D306" s="371">
        <v>20</v>
      </c>
      <c r="E306" s="377">
        <f t="shared" si="24"/>
        <v>22.5</v>
      </c>
      <c r="F306" s="377">
        <f t="shared" si="19"/>
        <v>1.1262804671840093E-3</v>
      </c>
      <c r="G306" s="377">
        <f t="shared" si="20"/>
        <v>5.6155905111589912E-3</v>
      </c>
      <c r="H306" s="377" t="e">
        <f t="shared" si="21"/>
        <v>#REF!</v>
      </c>
      <c r="I306" s="377" t="e">
        <f t="shared" si="22"/>
        <v>#REF!</v>
      </c>
      <c r="J306" s="371" t="e">
        <f t="shared" si="23"/>
        <v>#REF!</v>
      </c>
      <c r="K306" s="371" t="e">
        <f t="shared" si="23"/>
        <v>#REF!</v>
      </c>
    </row>
    <row r="307" spans="4:11" ht="12" customHeight="1" x14ac:dyDescent="0.2">
      <c r="D307" s="371">
        <v>25</v>
      </c>
      <c r="E307" s="377">
        <f t="shared" si="24"/>
        <v>27.5</v>
      </c>
      <c r="F307" s="377">
        <f t="shared" si="19"/>
        <v>9.1826015721775851E-4</v>
      </c>
      <c r="G307" s="377">
        <f t="shared" si="20"/>
        <v>4.5807849054202128E-3</v>
      </c>
      <c r="H307" s="377" t="e">
        <f t="shared" si="21"/>
        <v>#REF!</v>
      </c>
      <c r="I307" s="377" t="e">
        <f t="shared" si="22"/>
        <v>#REF!</v>
      </c>
      <c r="J307" s="371" t="e">
        <f t="shared" si="23"/>
        <v>#REF!</v>
      </c>
      <c r="K307" s="371" t="e">
        <f t="shared" si="23"/>
        <v>#REF!</v>
      </c>
    </row>
    <row r="308" spans="4:11" ht="12" customHeight="1" x14ac:dyDescent="0.2">
      <c r="D308" s="371">
        <v>30</v>
      </c>
      <c r="E308" s="377">
        <f t="shared" si="24"/>
        <v>32.5</v>
      </c>
      <c r="F308" s="377">
        <f t="shared" si="19"/>
        <v>5.9037813321502074E-4</v>
      </c>
      <c r="G308" s="377">
        <f t="shared" si="20"/>
        <v>2.9475402577876816E-3</v>
      </c>
      <c r="H308" s="377" t="e">
        <f t="shared" si="21"/>
        <v>#REF!</v>
      </c>
      <c r="I308" s="377" t="e">
        <f t="shared" si="22"/>
        <v>#REF!</v>
      </c>
      <c r="J308" s="371" t="e">
        <f t="shared" si="23"/>
        <v>#REF!</v>
      </c>
      <c r="K308" s="371" t="e">
        <f t="shared" si="23"/>
        <v>#REF!</v>
      </c>
    </row>
    <row r="309" spans="4:11" ht="12" customHeight="1" x14ac:dyDescent="0.2">
      <c r="D309" s="371">
        <v>35</v>
      </c>
      <c r="E309" s="377">
        <f t="shared" si="24"/>
        <v>37.5</v>
      </c>
      <c r="F309" s="377">
        <f t="shared" si="19"/>
        <v>8.4669881664905969E-4</v>
      </c>
      <c r="G309" s="377">
        <f t="shared" si="20"/>
        <v>4.2245517757717524E-3</v>
      </c>
      <c r="H309" s="377" t="e">
        <f t="shared" si="21"/>
        <v>#REF!</v>
      </c>
      <c r="I309" s="377" t="e">
        <f t="shared" si="22"/>
        <v>#REF!</v>
      </c>
      <c r="J309" s="371" t="e">
        <f t="shared" si="23"/>
        <v>#REF!</v>
      </c>
      <c r="K309" s="371" t="e">
        <f t="shared" si="23"/>
        <v>#REF!</v>
      </c>
    </row>
    <row r="310" spans="4:11" ht="12" customHeight="1" x14ac:dyDescent="0.2">
      <c r="D310" s="371">
        <v>40</v>
      </c>
      <c r="E310" s="377">
        <f t="shared" si="24"/>
        <v>42.5</v>
      </c>
      <c r="F310" s="377">
        <f t="shared" si="19"/>
        <v>1.0189830180434931E-3</v>
      </c>
      <c r="G310" s="377">
        <f t="shared" si="20"/>
        <v>5.0819689899699576E-3</v>
      </c>
      <c r="H310" s="377" t="e">
        <f t="shared" si="21"/>
        <v>#REF!</v>
      </c>
      <c r="I310" s="377" t="e">
        <f t="shared" si="22"/>
        <v>#REF!</v>
      </c>
      <c r="J310" s="371" t="e">
        <f t="shared" si="23"/>
        <v>#REF!</v>
      </c>
      <c r="K310" s="371" t="e">
        <f t="shared" si="23"/>
        <v>#REF!</v>
      </c>
    </row>
    <row r="311" spans="4:11" ht="12" customHeight="1" x14ac:dyDescent="0.2">
      <c r="D311" s="371">
        <v>45</v>
      </c>
      <c r="E311" s="377">
        <f t="shared" si="24"/>
        <v>47.5</v>
      </c>
      <c r="F311" s="377">
        <f t="shared" si="19"/>
        <v>1.3723406287299907E-3</v>
      </c>
      <c r="G311" s="377">
        <f t="shared" si="20"/>
        <v>6.838242149821718E-3</v>
      </c>
      <c r="H311" s="377" t="e">
        <f t="shared" si="21"/>
        <v>#REF!</v>
      </c>
      <c r="I311" s="377" t="e">
        <f t="shared" si="22"/>
        <v>#REF!</v>
      </c>
      <c r="J311" s="371" t="e">
        <f t="shared" si="23"/>
        <v>#REF!</v>
      </c>
      <c r="K311" s="371" t="e">
        <f t="shared" si="23"/>
        <v>#REF!</v>
      </c>
    </row>
    <row r="312" spans="4:11" ht="12" customHeight="1" x14ac:dyDescent="0.2">
      <c r="D312" s="371">
        <v>50</v>
      </c>
      <c r="E312" s="377">
        <f t="shared" si="24"/>
        <v>52.5</v>
      </c>
      <c r="F312" s="377">
        <f t="shared" si="19"/>
        <v>1.852022686109935E-3</v>
      </c>
      <c r="G312" s="377">
        <f t="shared" si="20"/>
        <v>9.2174361782748366E-3</v>
      </c>
      <c r="H312" s="377" t="e">
        <f t="shared" si="21"/>
        <v>#REF!</v>
      </c>
      <c r="I312" s="377" t="e">
        <f t="shared" si="22"/>
        <v>#REF!</v>
      </c>
      <c r="J312" s="371" t="e">
        <f t="shared" si="23"/>
        <v>#REF!</v>
      </c>
      <c r="K312" s="371" t="e">
        <f t="shared" si="23"/>
        <v>#REF!</v>
      </c>
    </row>
    <row r="313" spans="4:11" ht="12" customHeight="1" x14ac:dyDescent="0.2">
      <c r="D313" s="371">
        <v>55</v>
      </c>
      <c r="E313" s="377">
        <f t="shared" si="24"/>
        <v>57.5</v>
      </c>
      <c r="F313" s="377">
        <f t="shared" si="19"/>
        <v>2.6898874475705698E-3</v>
      </c>
      <c r="G313" s="377">
        <f t="shared" si="20"/>
        <v>1.3359597702441873E-2</v>
      </c>
      <c r="H313" s="377" t="e">
        <f t="shared" si="21"/>
        <v>#REF!</v>
      </c>
      <c r="I313" s="377" t="e">
        <f t="shared" si="22"/>
        <v>#REF!</v>
      </c>
      <c r="J313" s="371" t="e">
        <f t="shared" si="23"/>
        <v>#REF!</v>
      </c>
      <c r="K313" s="371" t="e">
        <f t="shared" si="23"/>
        <v>#REF!</v>
      </c>
    </row>
    <row r="314" spans="4:11" ht="12" customHeight="1" x14ac:dyDescent="0.2">
      <c r="D314" s="371">
        <v>60</v>
      </c>
      <c r="E314" s="377">
        <f t="shared" si="24"/>
        <v>62.5</v>
      </c>
      <c r="F314" s="377">
        <f t="shared" si="19"/>
        <v>7.1491156196543297E-3</v>
      </c>
      <c r="G314" s="377">
        <f t="shared" si="20"/>
        <v>3.5117922870955241E-2</v>
      </c>
      <c r="H314" s="377" t="e">
        <f t="shared" si="21"/>
        <v>#REF!</v>
      </c>
      <c r="I314" s="377" t="e">
        <f t="shared" si="22"/>
        <v>#REF!</v>
      </c>
      <c r="J314" s="371" t="e">
        <f t="shared" si="23"/>
        <v>#REF!</v>
      </c>
      <c r="K314" s="371" t="e">
        <f t="shared" si="23"/>
        <v>#REF!</v>
      </c>
    </row>
    <row r="315" spans="4:11" ht="12" customHeight="1" x14ac:dyDescent="0.2">
      <c r="D315" s="371" t="e">
        <f t="shared" ref="D315:D322" si="25">IF(D237=2,NA0,C237)</f>
        <v>#REF!</v>
      </c>
      <c r="E315" s="377" t="e">
        <f t="shared" ref="E315:E322" si="26">IF(D237&lt;2,D315+F23,NA())</f>
        <v>#REF!</v>
      </c>
      <c r="F315" s="377" t="e">
        <f t="shared" ref="F315:F322" si="27">IF(D237&lt;2,E23,NA())</f>
        <v>#REF!</v>
      </c>
      <c r="G315" s="377" t="e">
        <f t="shared" ref="G315:G322" si="28">IF(D237=0,G23,NA())</f>
        <v>#REF!</v>
      </c>
      <c r="H315" s="377" t="e">
        <f t="shared" ref="H315:H322" si="29">IF(D237&lt;2,E68,NA())</f>
        <v>#REF!</v>
      </c>
      <c r="I315" s="377" t="e">
        <f t="shared" ref="I315:I322" si="30">IF(D237=0,G68,NA())</f>
        <v>#REF!</v>
      </c>
      <c r="J315" s="371" t="e">
        <f t="shared" ref="J315:K321" si="31">IF(ISNA(F315),J314,MINA(F315,H315))</f>
        <v>#REF!</v>
      </c>
      <c r="K315" s="371" t="e">
        <f t="shared" si="31"/>
        <v>#REF!</v>
      </c>
    </row>
    <row r="316" spans="4:11" ht="12" customHeight="1" x14ac:dyDescent="0.2">
      <c r="D316" s="371" t="e">
        <f t="shared" si="25"/>
        <v>#REF!</v>
      </c>
      <c r="E316" s="377" t="e">
        <f t="shared" si="26"/>
        <v>#REF!</v>
      </c>
      <c r="F316" s="377" t="e">
        <f t="shared" si="27"/>
        <v>#REF!</v>
      </c>
      <c r="G316" s="377" t="e">
        <f t="shared" si="28"/>
        <v>#REF!</v>
      </c>
      <c r="H316" s="377" t="e">
        <f t="shared" si="29"/>
        <v>#REF!</v>
      </c>
      <c r="I316" s="377" t="e">
        <f t="shared" si="30"/>
        <v>#REF!</v>
      </c>
      <c r="J316" s="371" t="e">
        <f t="shared" si="31"/>
        <v>#REF!</v>
      </c>
      <c r="K316" s="371" t="e">
        <f t="shared" si="31"/>
        <v>#REF!</v>
      </c>
    </row>
    <row r="317" spans="4:11" ht="12" customHeight="1" x14ac:dyDescent="0.2">
      <c r="D317" s="371" t="e">
        <f t="shared" si="25"/>
        <v>#REF!</v>
      </c>
      <c r="E317" s="377" t="e">
        <f t="shared" si="26"/>
        <v>#REF!</v>
      </c>
      <c r="F317" s="377" t="e">
        <f t="shared" si="27"/>
        <v>#REF!</v>
      </c>
      <c r="G317" s="377" t="e">
        <f t="shared" si="28"/>
        <v>#REF!</v>
      </c>
      <c r="H317" s="377" t="e">
        <f t="shared" si="29"/>
        <v>#REF!</v>
      </c>
      <c r="I317" s="377" t="e">
        <f t="shared" si="30"/>
        <v>#REF!</v>
      </c>
      <c r="J317" s="371" t="e">
        <f t="shared" si="31"/>
        <v>#REF!</v>
      </c>
      <c r="K317" s="371" t="e">
        <f t="shared" si="31"/>
        <v>#REF!</v>
      </c>
    </row>
    <row r="318" spans="4:11" ht="12" customHeight="1" x14ac:dyDescent="0.2">
      <c r="D318" s="371" t="e">
        <f t="shared" si="25"/>
        <v>#REF!</v>
      </c>
      <c r="E318" s="377" t="e">
        <f t="shared" si="26"/>
        <v>#REF!</v>
      </c>
      <c r="F318" s="377" t="e">
        <f t="shared" si="27"/>
        <v>#REF!</v>
      </c>
      <c r="G318" s="377" t="e">
        <f t="shared" si="28"/>
        <v>#REF!</v>
      </c>
      <c r="H318" s="377" t="e">
        <f t="shared" si="29"/>
        <v>#REF!</v>
      </c>
      <c r="I318" s="377" t="e">
        <f t="shared" si="30"/>
        <v>#REF!</v>
      </c>
      <c r="J318" s="371" t="e">
        <f t="shared" si="31"/>
        <v>#REF!</v>
      </c>
      <c r="K318" s="371" t="e">
        <f t="shared" si="31"/>
        <v>#REF!</v>
      </c>
    </row>
    <row r="319" spans="4:11" ht="12" customHeight="1" x14ac:dyDescent="0.2">
      <c r="D319" s="371" t="e">
        <f t="shared" si="25"/>
        <v>#REF!</v>
      </c>
      <c r="E319" s="377" t="e">
        <f t="shared" si="26"/>
        <v>#REF!</v>
      </c>
      <c r="F319" s="377" t="e">
        <f t="shared" si="27"/>
        <v>#REF!</v>
      </c>
      <c r="G319" s="377" t="e">
        <f t="shared" si="28"/>
        <v>#REF!</v>
      </c>
      <c r="H319" s="377" t="e">
        <f t="shared" si="29"/>
        <v>#REF!</v>
      </c>
      <c r="I319" s="377" t="e">
        <f t="shared" si="30"/>
        <v>#REF!</v>
      </c>
      <c r="J319" s="371" t="e">
        <f t="shared" si="31"/>
        <v>#REF!</v>
      </c>
      <c r="K319" s="371" t="e">
        <f t="shared" si="31"/>
        <v>#REF!</v>
      </c>
    </row>
    <row r="320" spans="4:11" ht="12" customHeight="1" x14ac:dyDescent="0.2">
      <c r="D320" s="371" t="e">
        <f t="shared" si="25"/>
        <v>#REF!</v>
      </c>
      <c r="E320" s="377" t="e">
        <f t="shared" si="26"/>
        <v>#REF!</v>
      </c>
      <c r="F320" s="377" t="e">
        <f t="shared" si="27"/>
        <v>#REF!</v>
      </c>
      <c r="G320" s="377" t="e">
        <f t="shared" si="28"/>
        <v>#REF!</v>
      </c>
      <c r="H320" s="377" t="e">
        <f t="shared" si="29"/>
        <v>#REF!</v>
      </c>
      <c r="I320" s="377" t="e">
        <f t="shared" si="30"/>
        <v>#REF!</v>
      </c>
      <c r="J320" s="371" t="e">
        <f t="shared" si="31"/>
        <v>#REF!</v>
      </c>
      <c r="K320" s="371" t="e">
        <f t="shared" si="31"/>
        <v>#REF!</v>
      </c>
    </row>
    <row r="321" spans="3:12" ht="12" customHeight="1" x14ac:dyDescent="0.2">
      <c r="D321" s="371" t="e">
        <f t="shared" si="25"/>
        <v>#REF!</v>
      </c>
      <c r="E321" s="377" t="e">
        <f t="shared" si="26"/>
        <v>#REF!</v>
      </c>
      <c r="F321" s="377" t="e">
        <f t="shared" si="27"/>
        <v>#REF!</v>
      </c>
      <c r="G321" s="377" t="e">
        <f t="shared" si="28"/>
        <v>#REF!</v>
      </c>
      <c r="H321" s="377" t="e">
        <f t="shared" si="29"/>
        <v>#REF!</v>
      </c>
      <c r="I321" s="377" t="e">
        <f t="shared" si="30"/>
        <v>#REF!</v>
      </c>
      <c r="J321" s="371" t="e">
        <f t="shared" si="31"/>
        <v>#REF!</v>
      </c>
      <c r="K321" s="371" t="e">
        <f t="shared" si="31"/>
        <v>#REF!</v>
      </c>
    </row>
    <row r="322" spans="3:12" ht="12" customHeight="1" x14ac:dyDescent="0.2">
      <c r="D322" s="371" t="e">
        <f t="shared" si="25"/>
        <v>#REF!</v>
      </c>
      <c r="E322" s="377" t="e">
        <f t="shared" si="26"/>
        <v>#REF!</v>
      </c>
      <c r="F322" s="377" t="e">
        <f t="shared" si="27"/>
        <v>#REF!</v>
      </c>
      <c r="G322" s="377" t="e">
        <f t="shared" si="28"/>
        <v>#REF!</v>
      </c>
      <c r="H322" s="377" t="e">
        <f t="shared" si="29"/>
        <v>#REF!</v>
      </c>
      <c r="I322" s="377" t="e">
        <f t="shared" si="30"/>
        <v>#REF!</v>
      </c>
      <c r="J322" s="371" t="e">
        <f>IF(ISNA(F322),J321,MINA(F322,H322))</f>
        <v>#REF!</v>
      </c>
    </row>
    <row r="323" spans="3:12" ht="12" customHeight="1" x14ac:dyDescent="0.2">
      <c r="D323" s="375" t="s">
        <v>70</v>
      </c>
      <c r="E323" s="375" t="s">
        <v>70</v>
      </c>
      <c r="F323" s="375" t="s">
        <v>70</v>
      </c>
      <c r="G323" s="375" t="s">
        <v>70</v>
      </c>
      <c r="H323" s="375" t="s">
        <v>70</v>
      </c>
      <c r="I323" s="375" t="s">
        <v>70</v>
      </c>
    </row>
    <row r="324" spans="3:12" ht="12" customHeight="1" x14ac:dyDescent="0.2">
      <c r="H324" s="342" t="s">
        <v>300</v>
      </c>
      <c r="J324" s="371" t="e">
        <f>MINA(J301:J322)</f>
        <v>#REF!</v>
      </c>
      <c r="K324" s="371" t="e">
        <f>MINA(K301:K321)</f>
        <v>#REF!</v>
      </c>
    </row>
    <row r="325" spans="3:12" ht="12" customHeight="1" x14ac:dyDescent="0.2">
      <c r="C325" s="370" t="s">
        <v>301</v>
      </c>
    </row>
    <row r="326" spans="3:12" ht="12" customHeight="1" x14ac:dyDescent="0.2">
      <c r="C326" s="375" t="s">
        <v>70</v>
      </c>
      <c r="D326" s="375" t="s">
        <v>70</v>
      </c>
      <c r="E326" s="375" t="s">
        <v>70</v>
      </c>
      <c r="F326" s="375" t="s">
        <v>70</v>
      </c>
      <c r="G326" s="375" t="s">
        <v>70</v>
      </c>
      <c r="H326" s="375" t="s">
        <v>70</v>
      </c>
      <c r="I326" s="375" t="s">
        <v>70</v>
      </c>
      <c r="J326" s="375" t="s">
        <v>70</v>
      </c>
    </row>
    <row r="327" spans="3:12" ht="12" customHeight="1" x14ac:dyDescent="0.2">
      <c r="J327" s="370" t="s">
        <v>302</v>
      </c>
    </row>
    <row r="328" spans="3:12" ht="12" customHeight="1" x14ac:dyDescent="0.2">
      <c r="J328" s="370" t="s">
        <v>162</v>
      </c>
    </row>
    <row r="329" spans="3:12" ht="12" customHeight="1" x14ac:dyDescent="0.2">
      <c r="H329" s="376" t="s">
        <v>297</v>
      </c>
      <c r="I329" s="370" t="s">
        <v>297</v>
      </c>
      <c r="J329" s="370" t="s">
        <v>303</v>
      </c>
    </row>
    <row r="330" spans="3:12" ht="12" customHeight="1" x14ac:dyDescent="0.2">
      <c r="C330" s="370" t="s">
        <v>157</v>
      </c>
      <c r="E330" s="376" t="s">
        <v>158</v>
      </c>
      <c r="F330" s="376" t="s">
        <v>46</v>
      </c>
      <c r="G330" s="376" t="s">
        <v>304</v>
      </c>
      <c r="H330" s="376" t="s">
        <v>304</v>
      </c>
      <c r="I330" s="370" t="s">
        <v>305</v>
      </c>
      <c r="J330" s="370" t="s">
        <v>306</v>
      </c>
    </row>
    <row r="331" spans="3:12" ht="12" customHeight="1" x14ac:dyDescent="0.2">
      <c r="C331" s="375" t="s">
        <v>70</v>
      </c>
      <c r="D331" s="375" t="s">
        <v>70</v>
      </c>
      <c r="E331" s="375" t="s">
        <v>70</v>
      </c>
      <c r="F331" s="375" t="s">
        <v>70</v>
      </c>
      <c r="G331" s="375" t="s">
        <v>70</v>
      </c>
      <c r="H331" s="375" t="s">
        <v>70</v>
      </c>
      <c r="I331" s="375" t="s">
        <v>70</v>
      </c>
      <c r="J331" s="375" t="s">
        <v>70</v>
      </c>
    </row>
    <row r="332" spans="3:12" ht="12" customHeight="1" x14ac:dyDescent="0.2">
      <c r="C332" s="371">
        <v>0</v>
      </c>
      <c r="E332" s="381" t="e">
        <f>#REF!</f>
        <v>#REF!</v>
      </c>
      <c r="F332" s="381" t="e">
        <f>#REF!</f>
        <v>#REF!</v>
      </c>
      <c r="G332" s="380" t="e">
        <f t="shared" ref="G332:G345" si="32">E332/F332</f>
        <v>#REF!</v>
      </c>
      <c r="H332" s="382" t="s">
        <v>307</v>
      </c>
      <c r="I332" s="381"/>
      <c r="J332" s="380" t="e">
        <f>G332</f>
        <v>#REF!</v>
      </c>
      <c r="K332" s="379"/>
      <c r="L332" s="379"/>
    </row>
    <row r="333" spans="3:12" ht="12" customHeight="1" x14ac:dyDescent="0.2">
      <c r="C333" s="371">
        <v>1</v>
      </c>
      <c r="E333" s="381" t="e">
        <f>#REF!</f>
        <v>#REF!</v>
      </c>
      <c r="F333" s="381" t="e">
        <f>#REF!</f>
        <v>#REF!</v>
      </c>
      <c r="G333" s="380" t="e">
        <f t="shared" si="32"/>
        <v>#REF!</v>
      </c>
      <c r="H333" s="382" t="s">
        <v>307</v>
      </c>
      <c r="I333" s="381"/>
      <c r="J333" s="380" t="e">
        <f>G333</f>
        <v>#REF!</v>
      </c>
      <c r="K333" s="379"/>
      <c r="L333" s="379"/>
    </row>
    <row r="334" spans="3:12" ht="12" customHeight="1" x14ac:dyDescent="0.2">
      <c r="C334" s="371">
        <v>5</v>
      </c>
      <c r="E334" s="381" t="e">
        <f>#REF!</f>
        <v>#REF!</v>
      </c>
      <c r="F334" s="381" t="e">
        <f>#REF!</f>
        <v>#REF!</v>
      </c>
      <c r="G334" s="380" t="e">
        <f t="shared" si="32"/>
        <v>#REF!</v>
      </c>
      <c r="H334" s="382" t="s">
        <v>307</v>
      </c>
      <c r="I334" s="381"/>
      <c r="J334" s="380" t="e">
        <f>G334</f>
        <v>#REF!</v>
      </c>
      <c r="K334" s="379"/>
      <c r="L334" s="379"/>
    </row>
    <row r="335" spans="3:12" ht="12" customHeight="1" x14ac:dyDescent="0.2">
      <c r="C335" s="371">
        <v>10</v>
      </c>
      <c r="E335" s="381" t="e">
        <f>#REF!</f>
        <v>#REF!</v>
      </c>
      <c r="F335" s="381" t="e">
        <f>#REF!</f>
        <v>#REF!</v>
      </c>
      <c r="G335" s="380" t="e">
        <f t="shared" si="32"/>
        <v>#REF!</v>
      </c>
      <c r="H335" s="382" t="s">
        <v>307</v>
      </c>
      <c r="I335" s="381"/>
      <c r="J335" s="380" t="e">
        <f>G335</f>
        <v>#REF!</v>
      </c>
      <c r="K335" s="379"/>
      <c r="L335" s="379"/>
    </row>
    <row r="336" spans="3:12" ht="12" customHeight="1" x14ac:dyDescent="0.2">
      <c r="C336" s="371">
        <v>15</v>
      </c>
      <c r="E336" s="381" t="e">
        <f>#REF!</f>
        <v>#REF!</v>
      </c>
      <c r="F336" s="381" t="e">
        <f>#REF!</f>
        <v>#REF!</v>
      </c>
      <c r="G336" s="380" t="e">
        <f t="shared" si="32"/>
        <v>#REF!</v>
      </c>
      <c r="H336" s="380" t="e">
        <f t="shared" ref="H336:H344" si="33">EXP((LN(G335)+LN(G336)+LN(G337))/3)</f>
        <v>#REF!</v>
      </c>
      <c r="I336" s="381" t="e">
        <f t="shared" ref="I336:I352" si="34">F336*H336</f>
        <v>#REF!</v>
      </c>
      <c r="J336" s="380" t="e">
        <f>H336*E357/I357</f>
        <v>#REF!</v>
      </c>
      <c r="K336" s="379"/>
      <c r="L336" s="379"/>
    </row>
    <row r="337" spans="3:12" ht="12" customHeight="1" x14ac:dyDescent="0.2">
      <c r="C337" s="371">
        <v>20</v>
      </c>
      <c r="E337" s="381" t="e">
        <f>#REF!</f>
        <v>#REF!</v>
      </c>
      <c r="F337" s="381" t="e">
        <f>#REF!</f>
        <v>#REF!</v>
      </c>
      <c r="G337" s="380" t="e">
        <f t="shared" si="32"/>
        <v>#REF!</v>
      </c>
      <c r="H337" s="380" t="e">
        <f t="shared" si="33"/>
        <v>#REF!</v>
      </c>
      <c r="I337" s="381" t="e">
        <f t="shared" si="34"/>
        <v>#REF!</v>
      </c>
      <c r="J337" s="380" t="e">
        <f>H337*E357/I357</f>
        <v>#REF!</v>
      </c>
      <c r="K337" s="379"/>
      <c r="L337" s="379"/>
    </row>
    <row r="338" spans="3:12" ht="12" customHeight="1" x14ac:dyDescent="0.2">
      <c r="C338" s="371">
        <v>25</v>
      </c>
      <c r="E338" s="381" t="e">
        <f>#REF!</f>
        <v>#REF!</v>
      </c>
      <c r="F338" s="381" t="e">
        <f>#REF!</f>
        <v>#REF!</v>
      </c>
      <c r="G338" s="380" t="e">
        <f t="shared" si="32"/>
        <v>#REF!</v>
      </c>
      <c r="H338" s="380" t="e">
        <f t="shared" si="33"/>
        <v>#REF!</v>
      </c>
      <c r="I338" s="381" t="e">
        <f t="shared" si="34"/>
        <v>#REF!</v>
      </c>
      <c r="J338" s="380" t="e">
        <f>H338*E357/I357</f>
        <v>#REF!</v>
      </c>
      <c r="K338" s="379"/>
      <c r="L338" s="379"/>
    </row>
    <row r="339" spans="3:12" ht="12" customHeight="1" x14ac:dyDescent="0.2">
      <c r="C339" s="371">
        <v>30</v>
      </c>
      <c r="E339" s="381" t="e">
        <f>#REF!</f>
        <v>#REF!</v>
      </c>
      <c r="F339" s="381" t="e">
        <f>#REF!</f>
        <v>#REF!</v>
      </c>
      <c r="G339" s="380" t="e">
        <f t="shared" si="32"/>
        <v>#REF!</v>
      </c>
      <c r="H339" s="380" t="e">
        <f t="shared" si="33"/>
        <v>#REF!</v>
      </c>
      <c r="I339" s="381" t="e">
        <f t="shared" si="34"/>
        <v>#REF!</v>
      </c>
      <c r="J339" s="380" t="e">
        <f>H339*E357/I357</f>
        <v>#REF!</v>
      </c>
      <c r="K339" s="379"/>
      <c r="L339" s="379"/>
    </row>
    <row r="340" spans="3:12" ht="12" customHeight="1" x14ac:dyDescent="0.2">
      <c r="C340" s="371">
        <v>35</v>
      </c>
      <c r="E340" s="381" t="e">
        <f>#REF!</f>
        <v>#REF!</v>
      </c>
      <c r="F340" s="381" t="e">
        <f>#REF!</f>
        <v>#REF!</v>
      </c>
      <c r="G340" s="380" t="e">
        <f t="shared" si="32"/>
        <v>#REF!</v>
      </c>
      <c r="H340" s="380" t="e">
        <f t="shared" si="33"/>
        <v>#REF!</v>
      </c>
      <c r="I340" s="381" t="e">
        <f t="shared" si="34"/>
        <v>#REF!</v>
      </c>
      <c r="J340" s="380" t="e">
        <f>H340*E357/I357</f>
        <v>#REF!</v>
      </c>
      <c r="K340" s="379"/>
      <c r="L340" s="379"/>
    </row>
    <row r="341" spans="3:12" ht="12" customHeight="1" x14ac:dyDescent="0.2">
      <c r="C341" s="371">
        <v>40</v>
      </c>
      <c r="E341" s="381" t="e">
        <f>#REF!</f>
        <v>#REF!</v>
      </c>
      <c r="F341" s="381" t="e">
        <f>#REF!</f>
        <v>#REF!</v>
      </c>
      <c r="G341" s="380" t="e">
        <f t="shared" si="32"/>
        <v>#REF!</v>
      </c>
      <c r="H341" s="380" t="e">
        <f t="shared" si="33"/>
        <v>#REF!</v>
      </c>
      <c r="I341" s="381" t="e">
        <f t="shared" si="34"/>
        <v>#REF!</v>
      </c>
      <c r="J341" s="380" t="e">
        <f>H341*E357/I357</f>
        <v>#REF!</v>
      </c>
      <c r="K341" s="379"/>
      <c r="L341" s="379"/>
    </row>
    <row r="342" spans="3:12" ht="12" customHeight="1" x14ac:dyDescent="0.2">
      <c r="C342" s="371">
        <v>45</v>
      </c>
      <c r="E342" s="381" t="e">
        <f>#REF!</f>
        <v>#REF!</v>
      </c>
      <c r="F342" s="381" t="e">
        <f>#REF!</f>
        <v>#REF!</v>
      </c>
      <c r="G342" s="380" t="e">
        <f t="shared" si="32"/>
        <v>#REF!</v>
      </c>
      <c r="H342" s="380" t="e">
        <f t="shared" si="33"/>
        <v>#REF!</v>
      </c>
      <c r="I342" s="381" t="e">
        <f t="shared" si="34"/>
        <v>#REF!</v>
      </c>
      <c r="J342" s="380" t="e">
        <f>H342*E357/I357</f>
        <v>#REF!</v>
      </c>
      <c r="K342" s="379"/>
      <c r="L342" s="379"/>
    </row>
    <row r="343" spans="3:12" ht="12" customHeight="1" x14ac:dyDescent="0.2">
      <c r="C343" s="371">
        <v>50</v>
      </c>
      <c r="E343" s="381" t="e">
        <f>#REF!</f>
        <v>#REF!</v>
      </c>
      <c r="F343" s="381" t="e">
        <f>#REF!</f>
        <v>#REF!</v>
      </c>
      <c r="G343" s="380" t="e">
        <f t="shared" si="32"/>
        <v>#REF!</v>
      </c>
      <c r="H343" s="380" t="e">
        <f t="shared" si="33"/>
        <v>#REF!</v>
      </c>
      <c r="I343" s="381" t="e">
        <f t="shared" si="34"/>
        <v>#REF!</v>
      </c>
      <c r="J343" s="380" t="e">
        <f>H343*E357/I357</f>
        <v>#REF!</v>
      </c>
      <c r="K343" s="379"/>
      <c r="L343" s="379"/>
    </row>
    <row r="344" spans="3:12" ht="12" customHeight="1" x14ac:dyDescent="0.2">
      <c r="C344" s="371">
        <v>55</v>
      </c>
      <c r="E344" s="381" t="e">
        <f>#REF!</f>
        <v>#REF!</v>
      </c>
      <c r="F344" s="381" t="e">
        <f>#REF!</f>
        <v>#REF!</v>
      </c>
      <c r="G344" s="380" t="e">
        <f t="shared" si="32"/>
        <v>#REF!</v>
      </c>
      <c r="H344" s="380" t="e">
        <f t="shared" si="33"/>
        <v>#REF!</v>
      </c>
      <c r="I344" s="381" t="e">
        <f t="shared" si="34"/>
        <v>#REF!</v>
      </c>
      <c r="J344" s="380" t="e">
        <f>H344*E357/I357</f>
        <v>#REF!</v>
      </c>
      <c r="K344" s="379"/>
      <c r="L344" s="379"/>
    </row>
    <row r="345" spans="3:12" ht="12" customHeight="1" x14ac:dyDescent="0.2">
      <c r="C345" s="371">
        <v>60</v>
      </c>
      <c r="E345" s="381" t="e">
        <f>#REF!</f>
        <v>#REF!</v>
      </c>
      <c r="F345" s="381" t="e">
        <f>#REF!</f>
        <v>#REF!</v>
      </c>
      <c r="G345" s="380" t="e">
        <f t="shared" si="32"/>
        <v>#REF!</v>
      </c>
      <c r="H345" s="380" t="e">
        <f t="shared" ref="H345:H351" si="35">IF(D237=0,EXP((LN(G344)+LN(G345)+LN(G346))/3),0)</f>
        <v>#REF!</v>
      </c>
      <c r="I345" s="381" t="e">
        <f t="shared" si="34"/>
        <v>#REF!</v>
      </c>
      <c r="J345" s="380" t="e">
        <f t="shared" ref="J345:J353" si="36">IF(I345&gt;0,H345*$E$357/$I$357,G345)</f>
        <v>#REF!</v>
      </c>
      <c r="K345" s="379"/>
      <c r="L345" s="379"/>
    </row>
    <row r="346" spans="3:12" ht="12" customHeight="1" x14ac:dyDescent="0.2">
      <c r="C346" s="371">
        <v>65</v>
      </c>
      <c r="E346" s="381" t="e">
        <f>#REF!</f>
        <v>#REF!</v>
      </c>
      <c r="F346" s="381" t="e">
        <f>#REF!</f>
        <v>#REF!</v>
      </c>
      <c r="G346" s="380" t="e">
        <f t="shared" ref="G346:G353" si="37">IF(F346&gt;0,E346/F346,0)</f>
        <v>#REF!</v>
      </c>
      <c r="H346" s="380" t="e">
        <f t="shared" si="35"/>
        <v>#REF!</v>
      </c>
      <c r="I346" s="381" t="e">
        <f t="shared" si="34"/>
        <v>#REF!</v>
      </c>
      <c r="J346" s="380" t="e">
        <f t="shared" si="36"/>
        <v>#REF!</v>
      </c>
      <c r="K346" s="379"/>
      <c r="L346" s="379"/>
    </row>
    <row r="347" spans="3:12" ht="12" customHeight="1" x14ac:dyDescent="0.2">
      <c r="C347" s="371">
        <v>70</v>
      </c>
      <c r="E347" s="381" t="e">
        <f>#REF!</f>
        <v>#REF!</v>
      </c>
      <c r="F347" s="381" t="e">
        <f>#REF!</f>
        <v>#REF!</v>
      </c>
      <c r="G347" s="380" t="e">
        <f t="shared" si="37"/>
        <v>#REF!</v>
      </c>
      <c r="H347" s="380" t="e">
        <f t="shared" si="35"/>
        <v>#REF!</v>
      </c>
      <c r="I347" s="381" t="e">
        <f t="shared" si="34"/>
        <v>#REF!</v>
      </c>
      <c r="J347" s="380" t="e">
        <f t="shared" si="36"/>
        <v>#REF!</v>
      </c>
      <c r="K347" s="379"/>
      <c r="L347" s="379"/>
    </row>
    <row r="348" spans="3:12" ht="12" customHeight="1" x14ac:dyDescent="0.2">
      <c r="C348" s="371">
        <v>75</v>
      </c>
      <c r="E348" s="381" t="e">
        <f>#REF!</f>
        <v>#REF!</v>
      </c>
      <c r="F348" s="381" t="e">
        <f>#REF!</f>
        <v>#REF!</v>
      </c>
      <c r="G348" s="380" t="e">
        <f t="shared" si="37"/>
        <v>#REF!</v>
      </c>
      <c r="H348" s="380" t="e">
        <f t="shared" si="35"/>
        <v>#REF!</v>
      </c>
      <c r="I348" s="381" t="e">
        <f t="shared" si="34"/>
        <v>#REF!</v>
      </c>
      <c r="J348" s="380" t="e">
        <f t="shared" si="36"/>
        <v>#REF!</v>
      </c>
      <c r="K348" s="379"/>
      <c r="L348" s="379"/>
    </row>
    <row r="349" spans="3:12" ht="12" customHeight="1" x14ac:dyDescent="0.2">
      <c r="C349" s="371">
        <v>80</v>
      </c>
      <c r="E349" s="381" t="e">
        <f>#REF!</f>
        <v>#REF!</v>
      </c>
      <c r="F349" s="381" t="e">
        <f>#REF!</f>
        <v>#REF!</v>
      </c>
      <c r="G349" s="380" t="e">
        <f t="shared" si="37"/>
        <v>#REF!</v>
      </c>
      <c r="H349" s="380" t="e">
        <f t="shared" si="35"/>
        <v>#REF!</v>
      </c>
      <c r="I349" s="381" t="e">
        <f t="shared" si="34"/>
        <v>#REF!</v>
      </c>
      <c r="J349" s="380" t="e">
        <f t="shared" si="36"/>
        <v>#REF!</v>
      </c>
      <c r="K349" s="379"/>
      <c r="L349" s="379"/>
    </row>
    <row r="350" spans="3:12" ht="12" customHeight="1" x14ac:dyDescent="0.2">
      <c r="C350" s="371">
        <v>85</v>
      </c>
      <c r="E350" s="381" t="e">
        <f>#REF!</f>
        <v>#REF!</v>
      </c>
      <c r="F350" s="381" t="e">
        <f>#REF!</f>
        <v>#REF!</v>
      </c>
      <c r="G350" s="380" t="e">
        <f t="shared" si="37"/>
        <v>#REF!</v>
      </c>
      <c r="H350" s="380" t="e">
        <f t="shared" si="35"/>
        <v>#REF!</v>
      </c>
      <c r="I350" s="381" t="e">
        <f t="shared" si="34"/>
        <v>#REF!</v>
      </c>
      <c r="J350" s="380" t="e">
        <f t="shared" si="36"/>
        <v>#REF!</v>
      </c>
      <c r="K350" s="379"/>
      <c r="L350" s="379"/>
    </row>
    <row r="351" spans="3:12" ht="12" customHeight="1" x14ac:dyDescent="0.2">
      <c r="C351" s="371">
        <v>90</v>
      </c>
      <c r="E351" s="381" t="e">
        <f>#REF!</f>
        <v>#REF!</v>
      </c>
      <c r="F351" s="381" t="e">
        <f>#REF!</f>
        <v>#REF!</v>
      </c>
      <c r="G351" s="380" t="e">
        <f t="shared" si="37"/>
        <v>#REF!</v>
      </c>
      <c r="H351" s="380" t="e">
        <f t="shared" si="35"/>
        <v>#REF!</v>
      </c>
      <c r="I351" s="381" t="e">
        <f t="shared" si="34"/>
        <v>#REF!</v>
      </c>
      <c r="J351" s="380" t="e">
        <f t="shared" si="36"/>
        <v>#REF!</v>
      </c>
    </row>
    <row r="352" spans="3:12" ht="12" customHeight="1" x14ac:dyDescent="0.2">
      <c r="C352" s="371">
        <v>95</v>
      </c>
      <c r="E352" s="381" t="e">
        <f>#REF!</f>
        <v>#REF!</v>
      </c>
      <c r="F352" s="381" t="e">
        <f>#REF!</f>
        <v>#REF!</v>
      </c>
      <c r="G352" s="380" t="e">
        <f t="shared" si="37"/>
        <v>#REF!</v>
      </c>
      <c r="H352" s="380">
        <v>0</v>
      </c>
      <c r="I352" s="381" t="e">
        <f t="shared" si="34"/>
        <v>#REF!</v>
      </c>
      <c r="J352" s="380" t="e">
        <f t="shared" si="36"/>
        <v>#REF!</v>
      </c>
    </row>
    <row r="353" spans="3:10" ht="12" customHeight="1" x14ac:dyDescent="0.2">
      <c r="C353" s="371">
        <v>100</v>
      </c>
      <c r="E353" s="381" t="e">
        <f>#REF!</f>
        <v>#REF!</v>
      </c>
      <c r="F353" s="381" t="e">
        <f>#REF!</f>
        <v>#REF!</v>
      </c>
      <c r="G353" s="380" t="e">
        <f t="shared" si="37"/>
        <v>#REF!</v>
      </c>
      <c r="H353" s="380">
        <v>0</v>
      </c>
      <c r="I353" s="381">
        <v>0</v>
      </c>
      <c r="J353" s="380" t="e">
        <f t="shared" si="36"/>
        <v>#REF!</v>
      </c>
    </row>
    <row r="355" spans="3:10" ht="12" customHeight="1" x14ac:dyDescent="0.2">
      <c r="C355" s="370" t="s">
        <v>308</v>
      </c>
      <c r="E355" s="381" t="e">
        <f>SUM(E332:E353)</f>
        <v>#REF!</v>
      </c>
      <c r="F355" s="381" t="e">
        <f>SUM(F332:F353)</f>
        <v>#REF!</v>
      </c>
      <c r="G355" s="381"/>
      <c r="H355" s="381"/>
      <c r="I355" s="381"/>
    </row>
    <row r="356" spans="3:10" ht="12" customHeight="1" x14ac:dyDescent="0.2">
      <c r="E356" s="381"/>
      <c r="F356" s="381"/>
      <c r="G356" s="381"/>
      <c r="H356" s="381"/>
      <c r="I356" s="381"/>
    </row>
    <row r="357" spans="3:10" ht="12" customHeight="1" x14ac:dyDescent="0.2">
      <c r="C357" s="376" t="s">
        <v>309</v>
      </c>
      <c r="D357" s="371" t="e">
        <f>VLOOKUP(1,D237:E244,2)-6</f>
        <v>#N/A</v>
      </c>
      <c r="E357" s="381">
        <f>DSUM(C330:E353,3,C363:C364)</f>
        <v>0</v>
      </c>
      <c r="F357" s="381"/>
      <c r="G357" s="381"/>
      <c r="H357" s="381"/>
      <c r="I357" s="381" t="e">
        <f>SUM(I336:I351)</f>
        <v>#REF!</v>
      </c>
    </row>
    <row r="358" spans="3:10" ht="12" customHeight="1" x14ac:dyDescent="0.2">
      <c r="C358" s="375" t="s">
        <v>70</v>
      </c>
      <c r="D358" s="375" t="s">
        <v>70</v>
      </c>
      <c r="E358" s="375" t="s">
        <v>70</v>
      </c>
      <c r="F358" s="375" t="s">
        <v>70</v>
      </c>
      <c r="G358" s="375" t="s">
        <v>70</v>
      </c>
      <c r="H358" s="375" t="s">
        <v>70</v>
      </c>
      <c r="I358" s="375" t="s">
        <v>70</v>
      </c>
      <c r="J358" s="375" t="s">
        <v>70</v>
      </c>
    </row>
    <row r="361" spans="3:10" ht="12" customHeight="1" x14ac:dyDescent="0.2">
      <c r="C361" s="370" t="s">
        <v>310</v>
      </c>
    </row>
    <row r="363" spans="3:10" ht="12" customHeight="1" x14ac:dyDescent="0.2">
      <c r="C363" s="370" t="s">
        <v>157</v>
      </c>
    </row>
    <row r="364" spans="3:10" ht="12" customHeight="1" x14ac:dyDescent="0.2">
      <c r="C364" s="383" t="e">
        <f>AND(C331&gt;=15,C331&lt;$D$357)</f>
        <v>#N/A</v>
      </c>
    </row>
  </sheetData>
  <pageMargins left="0.7" right="0.7" top="0.75" bottom="0.75" header="0.3" footer="0.3"/>
  <pageSetup scale="73" orientation="portrait" r:id="rId1"/>
  <ignoredErrors>
    <ignoredError sqref="C9:C30" numberStoredAsText="1"/>
  </ignoredErrors>
  <drawing r:id="rId2"/>
  <legacyDrawing r:id="rId3"/>
  <oleObjects>
    <mc:AlternateContent xmlns:mc="http://schemas.openxmlformats.org/markup-compatibility/2006">
      <mc:Choice Requires="x14">
        <oleObject progId="MSPhotoEd.3" shapeId="74753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95250</xdr:colOff>
                <xdr:row>2</xdr:row>
                <xdr:rowOff>114300</xdr:rowOff>
              </to>
            </anchor>
          </objectPr>
        </oleObject>
      </mc:Choice>
      <mc:Fallback>
        <oleObject progId="MSPhotoEd.3" shapeId="74753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AC57"/>
  <sheetViews>
    <sheetView zoomScaleNormal="100" zoomScaleSheetLayoutView="100" workbookViewId="0">
      <selection activeCell="L5" sqref="L5"/>
    </sheetView>
  </sheetViews>
  <sheetFormatPr defaultRowHeight="12.75" x14ac:dyDescent="0.2"/>
  <cols>
    <col min="1" max="1" width="9.140625" style="46"/>
    <col min="2" max="2" width="12.85546875" style="46" bestFit="1" customWidth="1"/>
    <col min="3" max="11" width="8.5703125" style="46" customWidth="1"/>
    <col min="12" max="16384" width="9.140625" style="46"/>
  </cols>
  <sheetData>
    <row r="2" spans="2:28" x14ac:dyDescent="0.2">
      <c r="I2" s="65" t="s">
        <v>323</v>
      </c>
    </row>
    <row r="3" spans="2:28" x14ac:dyDescent="0.2">
      <c r="H3" s="44"/>
      <c r="I3" s="44"/>
      <c r="K3" s="57"/>
    </row>
    <row r="7" spans="2:28" x14ac:dyDescent="0.2">
      <c r="B7" s="73">
        <v>1.06</v>
      </c>
      <c r="C7" s="397" t="s">
        <v>143</v>
      </c>
      <c r="D7" s="397"/>
      <c r="E7" s="397"/>
      <c r="F7" s="397"/>
      <c r="G7" s="397"/>
      <c r="H7" s="397"/>
      <c r="I7" s="397"/>
      <c r="J7" s="397"/>
      <c r="K7" s="397"/>
    </row>
    <row r="8" spans="2:28" ht="15" x14ac:dyDescent="0.25"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174"/>
    </row>
    <row r="9" spans="2:28" ht="15" x14ac:dyDescent="0.25">
      <c r="B9" s="395" t="s">
        <v>99</v>
      </c>
      <c r="C9" s="393" t="s">
        <v>98</v>
      </c>
      <c r="D9" s="393"/>
      <c r="E9" s="393"/>
      <c r="F9" s="394" t="s">
        <v>12</v>
      </c>
      <c r="G9" s="393"/>
      <c r="H9" s="393"/>
      <c r="I9" s="394" t="s">
        <v>96</v>
      </c>
      <c r="J9" s="393"/>
      <c r="K9" s="393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174"/>
    </row>
    <row r="10" spans="2:28" s="118" customFormat="1" ht="15" x14ac:dyDescent="0.25">
      <c r="B10" s="396"/>
      <c r="C10" s="175" t="s">
        <v>1</v>
      </c>
      <c r="D10" s="175" t="s">
        <v>2</v>
      </c>
      <c r="E10" s="175" t="s">
        <v>3</v>
      </c>
      <c r="F10" s="176" t="s">
        <v>1</v>
      </c>
      <c r="G10" s="175" t="s">
        <v>2</v>
      </c>
      <c r="H10" s="175" t="s">
        <v>3</v>
      </c>
      <c r="I10" s="176" t="s">
        <v>1</v>
      </c>
      <c r="J10" s="175" t="s">
        <v>2</v>
      </c>
      <c r="K10" s="175" t="s">
        <v>3</v>
      </c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177"/>
    </row>
    <row r="11" spans="2:28" ht="18" customHeight="1" x14ac:dyDescent="0.25">
      <c r="B11" s="178"/>
      <c r="C11" s="165"/>
      <c r="D11" s="165"/>
      <c r="E11" s="165"/>
      <c r="F11" s="179"/>
      <c r="G11" s="165"/>
      <c r="H11" s="165"/>
      <c r="I11" s="179"/>
      <c r="J11" s="165"/>
      <c r="K11" s="165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174"/>
    </row>
    <row r="12" spans="2:28" ht="18" customHeight="1" x14ac:dyDescent="0.25">
      <c r="B12" s="180" t="s">
        <v>1</v>
      </c>
      <c r="C12" s="108">
        <v>81546.088299999581</v>
      </c>
      <c r="D12" s="108">
        <v>41342.365185821509</v>
      </c>
      <c r="E12" s="108">
        <v>40203.723114177774</v>
      </c>
      <c r="F12" s="181">
        <v>38723.999999999665</v>
      </c>
      <c r="G12" s="108">
        <v>18513.254794520311</v>
      </c>
      <c r="H12" s="108">
        <v>20210.74520547931</v>
      </c>
      <c r="I12" s="181">
        <v>42822.088299999508</v>
      </c>
      <c r="J12" s="108">
        <v>22829.110391301849</v>
      </c>
      <c r="K12" s="108">
        <v>19992.977908698977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174"/>
    </row>
    <row r="13" spans="2:28" ht="18" customHeight="1" x14ac:dyDescent="0.25">
      <c r="B13" s="180"/>
      <c r="C13" s="182"/>
      <c r="D13" s="182"/>
      <c r="E13" s="182"/>
      <c r="F13" s="183"/>
      <c r="G13" s="182"/>
      <c r="H13" s="182"/>
      <c r="I13" s="183"/>
      <c r="J13" s="182"/>
      <c r="K13" s="18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174"/>
    </row>
    <row r="14" spans="2:28" ht="18" customHeight="1" x14ac:dyDescent="0.25">
      <c r="B14" s="59" t="s">
        <v>97</v>
      </c>
      <c r="C14" s="53">
        <v>795.40353034056454</v>
      </c>
      <c r="D14" s="53">
        <v>273.43239645771865</v>
      </c>
      <c r="E14" s="53">
        <v>521.97113388284629</v>
      </c>
      <c r="F14" s="184">
        <v>389.00821917808173</v>
      </c>
      <c r="G14" s="53">
        <v>106.09315068493139</v>
      </c>
      <c r="H14" s="53">
        <v>282.91506849315044</v>
      </c>
      <c r="I14" s="184">
        <v>406.39531116248327</v>
      </c>
      <c r="J14" s="53">
        <v>167.33924577278722</v>
      </c>
      <c r="K14" s="53">
        <v>239.05606538969604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174"/>
    </row>
    <row r="15" spans="2:28" ht="18" customHeight="1" x14ac:dyDescent="0.25">
      <c r="B15" s="185" t="s">
        <v>108</v>
      </c>
      <c r="C15" s="53">
        <v>3293.2489216469498</v>
      </c>
      <c r="D15" s="53">
        <v>1630.8483360334956</v>
      </c>
      <c r="E15" s="53">
        <v>1662.4005856134506</v>
      </c>
      <c r="F15" s="184">
        <v>2192.591780821921</v>
      </c>
      <c r="G15" s="53">
        <v>1060.9315068493136</v>
      </c>
      <c r="H15" s="53">
        <v>1131.6602739726015</v>
      </c>
      <c r="I15" s="184">
        <v>1100.6571408250256</v>
      </c>
      <c r="J15" s="53">
        <v>569.91682918417962</v>
      </c>
      <c r="K15" s="53">
        <v>530.74031164084693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174"/>
    </row>
    <row r="16" spans="2:28" ht="18" customHeight="1" x14ac:dyDescent="0.25">
      <c r="B16" s="185" t="s">
        <v>82</v>
      </c>
      <c r="C16" s="53">
        <v>4194.7511964418491</v>
      </c>
      <c r="D16" s="53">
        <v>2062.0084177745775</v>
      </c>
      <c r="E16" s="53">
        <v>2132.7427786672679</v>
      </c>
      <c r="F16" s="184">
        <v>2723.0575342465809</v>
      </c>
      <c r="G16" s="53">
        <v>1308.4821917808215</v>
      </c>
      <c r="H16" s="53">
        <v>1414.5753424657535</v>
      </c>
      <c r="I16" s="184">
        <v>1471.6936621952657</v>
      </c>
      <c r="J16" s="53">
        <v>753.52622599375445</v>
      </c>
      <c r="K16" s="53">
        <v>718.16743620151283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174"/>
    </row>
    <row r="17" spans="2:28" ht="18" customHeight="1" x14ac:dyDescent="0.25">
      <c r="B17" s="185" t="s">
        <v>83</v>
      </c>
      <c r="C17" s="53">
        <v>3880.1661774535564</v>
      </c>
      <c r="D17" s="53">
        <v>2156.0899147324317</v>
      </c>
      <c r="E17" s="53">
        <v>1724.0762627211209</v>
      </c>
      <c r="F17" s="184">
        <v>2758.4219178082249</v>
      </c>
      <c r="G17" s="53">
        <v>1609.0794520547954</v>
      </c>
      <c r="H17" s="53">
        <v>1149.3424657534235</v>
      </c>
      <c r="I17" s="184">
        <v>1121.7442596453295</v>
      </c>
      <c r="J17" s="53">
        <v>547.01046267763491</v>
      </c>
      <c r="K17" s="53">
        <v>574.7337969676953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174"/>
    </row>
    <row r="18" spans="2:28" ht="18" customHeight="1" x14ac:dyDescent="0.25">
      <c r="B18" s="185" t="s">
        <v>69</v>
      </c>
      <c r="C18" s="53">
        <v>3109.5106363833825</v>
      </c>
      <c r="D18" s="53">
        <v>1445.2684280060789</v>
      </c>
      <c r="E18" s="53">
        <v>1664.2422083772988</v>
      </c>
      <c r="F18" s="184">
        <v>2510.8712328767169</v>
      </c>
      <c r="G18" s="53">
        <v>1237.7534246575335</v>
      </c>
      <c r="H18" s="53">
        <v>1273.1178082191775</v>
      </c>
      <c r="I18" s="184">
        <v>598.63940350666473</v>
      </c>
      <c r="J18" s="53">
        <v>207.51500334854484</v>
      </c>
      <c r="K18" s="53">
        <v>391.12440015812007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174"/>
    </row>
    <row r="19" spans="2:28" ht="18" customHeight="1" x14ac:dyDescent="0.25">
      <c r="B19" s="185" t="s">
        <v>71</v>
      </c>
      <c r="C19" s="53">
        <v>3901.7893916700573</v>
      </c>
      <c r="D19" s="53">
        <v>1953.5095800825891</v>
      </c>
      <c r="E19" s="53">
        <v>1948.2798115874639</v>
      </c>
      <c r="F19" s="184">
        <v>2422.460273972607</v>
      </c>
      <c r="G19" s="53">
        <v>1220.0712328767115</v>
      </c>
      <c r="H19" s="53">
        <v>1202.3890410958895</v>
      </c>
      <c r="I19" s="184">
        <v>1479.3291176974471</v>
      </c>
      <c r="J19" s="53">
        <v>733.43834720587574</v>
      </c>
      <c r="K19" s="53">
        <v>745.89077049157299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174"/>
    </row>
    <row r="20" spans="2:28" ht="18" customHeight="1" x14ac:dyDescent="0.25">
      <c r="B20" s="185"/>
      <c r="C20" s="53"/>
      <c r="D20" s="53"/>
      <c r="E20" s="53"/>
      <c r="F20" s="184"/>
      <c r="G20" s="53"/>
      <c r="H20" s="53"/>
      <c r="I20" s="184"/>
      <c r="J20" s="53"/>
      <c r="K20" s="53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174"/>
    </row>
    <row r="21" spans="2:28" ht="18" customHeight="1" x14ac:dyDescent="0.25">
      <c r="B21" s="185" t="s">
        <v>72</v>
      </c>
      <c r="C21" s="53">
        <v>6786.5940848877735</v>
      </c>
      <c r="D21" s="53">
        <v>3363.6620473935782</v>
      </c>
      <c r="E21" s="53">
        <v>3422.9320374941922</v>
      </c>
      <c r="F21" s="184">
        <v>1874.3123287671253</v>
      </c>
      <c r="G21" s="53">
        <v>919.47397260273817</v>
      </c>
      <c r="H21" s="53">
        <v>954.83835616438193</v>
      </c>
      <c r="I21" s="184">
        <v>4912.2817561206402</v>
      </c>
      <c r="J21" s="53">
        <v>2444.1880747908358</v>
      </c>
      <c r="K21" s="53">
        <v>2468.0936813298053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174"/>
    </row>
    <row r="22" spans="2:28" ht="18" customHeight="1" x14ac:dyDescent="0.25">
      <c r="B22" s="185" t="s">
        <v>73</v>
      </c>
      <c r="C22" s="53">
        <v>9302.7940790919511</v>
      </c>
      <c r="D22" s="53">
        <v>5035.0895876730128</v>
      </c>
      <c r="E22" s="53">
        <v>4267.7044914189273</v>
      </c>
      <c r="F22" s="184">
        <v>2281.002739726031</v>
      </c>
      <c r="G22" s="53">
        <v>1131.6602739726015</v>
      </c>
      <c r="H22" s="53">
        <v>1149.3424657534235</v>
      </c>
      <c r="I22" s="184">
        <v>7021.7913393659101</v>
      </c>
      <c r="J22" s="53">
        <v>3903.4293137004029</v>
      </c>
      <c r="K22" s="53">
        <v>3118.3620256654985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174"/>
    </row>
    <row r="23" spans="2:28" ht="18" customHeight="1" x14ac:dyDescent="0.25">
      <c r="B23" s="185" t="s">
        <v>74</v>
      </c>
      <c r="C23" s="53">
        <v>8539.4059429675617</v>
      </c>
      <c r="D23" s="53">
        <v>4612.0169185315335</v>
      </c>
      <c r="E23" s="53">
        <v>3927.3890244360218</v>
      </c>
      <c r="F23" s="184">
        <v>2298.684931506853</v>
      </c>
      <c r="G23" s="53">
        <v>1149.3424657534235</v>
      </c>
      <c r="H23" s="53">
        <v>1149.3424657534235</v>
      </c>
      <c r="I23" s="184">
        <v>6240.7210114607014</v>
      </c>
      <c r="J23" s="53">
        <v>3462.6744527781029</v>
      </c>
      <c r="K23" s="53">
        <v>2778.0465586825926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174"/>
    </row>
    <row r="24" spans="2:28" ht="18" customHeight="1" x14ac:dyDescent="0.25">
      <c r="B24" s="185" t="s">
        <v>75</v>
      </c>
      <c r="C24" s="53">
        <v>8244.3447385239451</v>
      </c>
      <c r="D24" s="53">
        <v>4154.8462368102473</v>
      </c>
      <c r="E24" s="53">
        <v>4089.4985017136828</v>
      </c>
      <c r="F24" s="184">
        <v>2493.1890410958949</v>
      </c>
      <c r="G24" s="53">
        <v>1361.5287671232875</v>
      </c>
      <c r="H24" s="53">
        <v>1131.6602739726015</v>
      </c>
      <c r="I24" s="184">
        <v>5751.1556974280429</v>
      </c>
      <c r="J24" s="53">
        <v>2793.3174696869555</v>
      </c>
      <c r="K24" s="53">
        <v>2957.838227741076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174"/>
    </row>
    <row r="25" spans="2:28" ht="18" customHeight="1" x14ac:dyDescent="0.25">
      <c r="B25" s="185" t="s">
        <v>76</v>
      </c>
      <c r="C25" s="53">
        <v>7327.5529379190993</v>
      </c>
      <c r="D25" s="53">
        <v>3735.1393383224381</v>
      </c>
      <c r="E25" s="53">
        <v>3592.4135995966535</v>
      </c>
      <c r="F25" s="184">
        <v>2652.3287671232929</v>
      </c>
      <c r="G25" s="53">
        <v>1113.9780821917795</v>
      </c>
      <c r="H25" s="53">
        <v>1538.3506849315074</v>
      </c>
      <c r="I25" s="184">
        <v>4675.2241707957955</v>
      </c>
      <c r="J25" s="53">
        <v>2621.1612561306529</v>
      </c>
      <c r="K25" s="53">
        <v>2054.0629146651413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174"/>
    </row>
    <row r="26" spans="2:28" ht="18" customHeight="1" x14ac:dyDescent="0.25">
      <c r="B26" s="185"/>
      <c r="C26" s="53"/>
      <c r="D26" s="53"/>
      <c r="E26" s="53"/>
      <c r="F26" s="184"/>
      <c r="G26" s="53"/>
      <c r="H26" s="53"/>
      <c r="I26" s="184"/>
      <c r="J26" s="53"/>
      <c r="K26" s="53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174"/>
    </row>
    <row r="27" spans="2:28" ht="18" customHeight="1" x14ac:dyDescent="0.25">
      <c r="B27" s="185" t="s">
        <v>84</v>
      </c>
      <c r="C27" s="53">
        <v>7003.0762064557912</v>
      </c>
      <c r="D27" s="53">
        <v>3429.8857278379805</v>
      </c>
      <c r="E27" s="53">
        <v>3573.1904786178061</v>
      </c>
      <c r="F27" s="184">
        <v>3324.2520547945287</v>
      </c>
      <c r="G27" s="53">
        <v>1502.9863013698634</v>
      </c>
      <c r="H27" s="53">
        <v>1821.2657534246594</v>
      </c>
      <c r="I27" s="184">
        <v>3678.8241516612534</v>
      </c>
      <c r="J27" s="53">
        <v>1926.8994264681116</v>
      </c>
      <c r="K27" s="53">
        <v>1751.9247251931438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174"/>
    </row>
    <row r="28" spans="2:28" ht="18" customHeight="1" x14ac:dyDescent="0.25">
      <c r="B28" s="185" t="s">
        <v>85</v>
      </c>
      <c r="C28" s="53">
        <v>5141.3750850500146</v>
      </c>
      <c r="D28" s="53">
        <v>2896.3157409396636</v>
      </c>
      <c r="E28" s="53">
        <v>2245.0593441103474</v>
      </c>
      <c r="F28" s="184">
        <v>2935.2438356164448</v>
      </c>
      <c r="G28" s="53">
        <v>1432.2575342465755</v>
      </c>
      <c r="H28" s="53">
        <v>1502.9863013698634</v>
      </c>
      <c r="I28" s="184">
        <v>2206.1312494335643</v>
      </c>
      <c r="J28" s="53">
        <v>1464.058206693084</v>
      </c>
      <c r="K28" s="53">
        <v>742.07304274048226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174"/>
    </row>
    <row r="29" spans="2:28" ht="18" customHeight="1" x14ac:dyDescent="0.25">
      <c r="B29" s="185" t="s">
        <v>86</v>
      </c>
      <c r="C29" s="53">
        <v>3635.1724430607028</v>
      </c>
      <c r="D29" s="53">
        <v>1842.7675064539462</v>
      </c>
      <c r="E29" s="53">
        <v>1792.4049366067529</v>
      </c>
      <c r="F29" s="184">
        <v>2316.367123287675</v>
      </c>
      <c r="G29" s="53">
        <v>1043.2493150684916</v>
      </c>
      <c r="H29" s="53">
        <v>1273.1178082191775</v>
      </c>
      <c r="I29" s="184">
        <v>1318.8053197730258</v>
      </c>
      <c r="J29" s="53">
        <v>799.51819138545272</v>
      </c>
      <c r="K29" s="53">
        <v>519.28712838757451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174"/>
    </row>
    <row r="30" spans="2:28" ht="18" customHeight="1" x14ac:dyDescent="0.25">
      <c r="B30" s="186" t="s">
        <v>87</v>
      </c>
      <c r="C30" s="53">
        <v>2399.2588076696397</v>
      </c>
      <c r="D30" s="53">
        <v>957.80810741464734</v>
      </c>
      <c r="E30" s="53">
        <v>1441.4507002549881</v>
      </c>
      <c r="F30" s="184">
        <v>2015.7698630137013</v>
      </c>
      <c r="G30" s="53">
        <v>778.01643835616312</v>
      </c>
      <c r="H30" s="53">
        <v>1237.7534246575335</v>
      </c>
      <c r="I30" s="184">
        <v>383.48894465593844</v>
      </c>
      <c r="J30" s="53">
        <v>179.79166905848442</v>
      </c>
      <c r="K30" s="53">
        <v>203.69727559745402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174"/>
    </row>
    <row r="31" spans="2:28" ht="18" customHeight="1" x14ac:dyDescent="0.25">
      <c r="B31" s="186" t="s">
        <v>77</v>
      </c>
      <c r="C31" s="53">
        <v>1557.0209292059506</v>
      </c>
      <c r="D31" s="53">
        <v>702.05230896834917</v>
      </c>
      <c r="E31" s="53">
        <v>854.96862023759832</v>
      </c>
      <c r="F31" s="184">
        <v>1485.3041095890414</v>
      </c>
      <c r="G31" s="53">
        <v>654.24109589040995</v>
      </c>
      <c r="H31" s="53">
        <v>831.06301369862877</v>
      </c>
      <c r="I31" s="184">
        <v>71.716819616908793</v>
      </c>
      <c r="J31" s="53">
        <v>47.8112130779392</v>
      </c>
      <c r="K31" s="53">
        <v>23.9056065389696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174"/>
    </row>
    <row r="32" spans="2:28" ht="18" customHeight="1" x14ac:dyDescent="0.25">
      <c r="B32" s="186"/>
      <c r="C32" s="53"/>
      <c r="D32" s="53"/>
      <c r="E32" s="53"/>
      <c r="F32" s="184"/>
      <c r="G32" s="53"/>
      <c r="H32" s="53"/>
      <c r="I32" s="184"/>
      <c r="J32" s="53"/>
      <c r="K32" s="53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174"/>
    </row>
    <row r="33" spans="2:28" ht="18" customHeight="1" x14ac:dyDescent="0.25">
      <c r="B33" s="186" t="s">
        <v>78</v>
      </c>
      <c r="C33" s="53">
        <v>745.0577418015763</v>
      </c>
      <c r="D33" s="53">
        <v>338.36733084267297</v>
      </c>
      <c r="E33" s="53">
        <v>406.69041095890361</v>
      </c>
      <c r="F33" s="184">
        <v>724.96986301369748</v>
      </c>
      <c r="G33" s="53">
        <v>318.27945205479421</v>
      </c>
      <c r="H33" s="53">
        <v>406.69041095890361</v>
      </c>
      <c r="I33" s="184">
        <v>20.0878787878788</v>
      </c>
      <c r="J33" s="53">
        <v>20.0878787878788</v>
      </c>
      <c r="K33" s="53">
        <v>0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174"/>
    </row>
    <row r="34" spans="2:28" ht="18" customHeight="1" x14ac:dyDescent="0.25">
      <c r="B34" s="186" t="s">
        <v>79</v>
      </c>
      <c r="C34" s="53">
        <v>565.83013698630054</v>
      </c>
      <c r="D34" s="53">
        <v>265.23287671232856</v>
      </c>
      <c r="E34" s="53">
        <v>300.59726027397232</v>
      </c>
      <c r="F34" s="184">
        <v>565.83013698630054</v>
      </c>
      <c r="G34" s="53">
        <v>265.23287671232856</v>
      </c>
      <c r="H34" s="53">
        <v>300.59726027397232</v>
      </c>
      <c r="I34" s="184">
        <v>0</v>
      </c>
      <c r="J34" s="53">
        <v>0</v>
      </c>
      <c r="K34" s="53"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174"/>
    </row>
    <row r="35" spans="2:28" ht="18" customHeight="1" x14ac:dyDescent="0.25">
      <c r="B35" s="186" t="s">
        <v>80</v>
      </c>
      <c r="C35" s="53">
        <v>843.09144873391347</v>
      </c>
      <c r="D35" s="53">
        <v>303.00294728102921</v>
      </c>
      <c r="E35" s="53">
        <v>540.08850145288443</v>
      </c>
      <c r="F35" s="184">
        <v>742.65205479451936</v>
      </c>
      <c r="G35" s="53">
        <v>282.91506849315044</v>
      </c>
      <c r="H35" s="53">
        <v>459.73698630136926</v>
      </c>
      <c r="I35" s="184">
        <v>100.43939393939399</v>
      </c>
      <c r="J35" s="53">
        <v>20.0878787878788</v>
      </c>
      <c r="K35" s="53">
        <v>80.351515151515201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174"/>
    </row>
    <row r="36" spans="2:28" ht="18" customHeight="1" x14ac:dyDescent="0.25">
      <c r="B36" s="186" t="s">
        <v>122</v>
      </c>
      <c r="C36" s="53">
        <v>280.6438637094875</v>
      </c>
      <c r="D36" s="53">
        <v>185.02143755360913</v>
      </c>
      <c r="E36" s="53">
        <v>95.622426155878401</v>
      </c>
      <c r="F36" s="184">
        <v>17.682191780821899</v>
      </c>
      <c r="G36" s="53">
        <v>17.682191780821899</v>
      </c>
      <c r="H36" s="53">
        <v>0</v>
      </c>
      <c r="I36" s="184">
        <v>262.96167192866562</v>
      </c>
      <c r="J36" s="53">
        <v>167.33924577278722</v>
      </c>
      <c r="K36" s="53">
        <v>95.622426155878401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174"/>
    </row>
    <row r="37" spans="2:28" ht="18" customHeight="1" x14ac:dyDescent="0.2">
      <c r="B37" s="187"/>
      <c r="C37" s="128"/>
      <c r="D37" s="128"/>
      <c r="E37" s="128"/>
      <c r="F37" s="188"/>
      <c r="G37" s="128"/>
      <c r="H37" s="128"/>
      <c r="I37" s="188"/>
      <c r="J37" s="128"/>
      <c r="K37" s="128"/>
    </row>
    <row r="39" spans="2:28" x14ac:dyDescent="0.2">
      <c r="B39" s="55" t="s">
        <v>38</v>
      </c>
    </row>
    <row r="46" spans="2:28" x14ac:dyDescent="0.2">
      <c r="B46" s="118"/>
      <c r="C46" s="118"/>
      <c r="D46" s="118"/>
      <c r="E46" s="118"/>
      <c r="F46" s="118"/>
      <c r="G46" s="118"/>
      <c r="H46" s="118"/>
      <c r="I46" s="118"/>
      <c r="J46" s="118"/>
      <c r="K46" s="118"/>
    </row>
    <row r="55" spans="2:29" ht="15" x14ac:dyDescent="0.25"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</row>
    <row r="57" spans="2:29" s="42" customFormat="1" ht="12.75" customHeight="1" x14ac:dyDescent="0.25">
      <c r="B57" s="56"/>
      <c r="C57" s="56"/>
      <c r="D57" s="56"/>
      <c r="E57" s="56"/>
      <c r="F57" s="56"/>
      <c r="G57" s="56"/>
      <c r="H57" s="56"/>
      <c r="I57" s="56"/>
      <c r="J57" s="56"/>
      <c r="K57" s="5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</row>
  </sheetData>
  <mergeCells count="5">
    <mergeCell ref="C9:E9"/>
    <mergeCell ref="I9:K9"/>
    <mergeCell ref="F9:H9"/>
    <mergeCell ref="B9:B10"/>
    <mergeCell ref="C7:K7"/>
  </mergeCells>
  <pageMargins left="0.7" right="0.7" top="0.75" bottom="0.75" header="0.3" footer="0.3"/>
  <pageSetup scale="83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54274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28575</xdr:rowOff>
              </from>
              <to>
                <xdr:col>1</xdr:col>
                <xdr:colOff>390525</xdr:colOff>
                <xdr:row>3</xdr:row>
                <xdr:rowOff>28575</xdr:rowOff>
              </to>
            </anchor>
          </objectPr>
        </oleObject>
      </mc:Choice>
      <mc:Fallback>
        <oleObject progId="MSPhotoEd.3" shapeId="54274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L51"/>
  <sheetViews>
    <sheetView zoomScaleNormal="100" zoomScaleSheetLayoutView="100" workbookViewId="0">
      <selection activeCell="N1" sqref="N1"/>
    </sheetView>
  </sheetViews>
  <sheetFormatPr defaultRowHeight="12.75" x14ac:dyDescent="0.2"/>
  <cols>
    <col min="1" max="1" width="9.140625" style="9"/>
    <col min="2" max="2" width="11.42578125" style="9" customWidth="1"/>
    <col min="3" max="3" width="12.140625" style="9" bestFit="1" customWidth="1"/>
    <col min="4" max="4" width="10.42578125" style="9" bestFit="1" customWidth="1"/>
    <col min="5" max="5" width="9.85546875" style="9" bestFit="1" customWidth="1"/>
    <col min="6" max="6" width="11.28515625" style="9" bestFit="1" customWidth="1"/>
    <col min="7" max="7" width="9.85546875" style="9" bestFit="1" customWidth="1"/>
    <col min="8" max="8" width="11.85546875" style="9" bestFit="1" customWidth="1"/>
    <col min="9" max="9" width="9.85546875" style="9" bestFit="1" customWidth="1"/>
    <col min="10" max="16384" width="9.140625" style="9"/>
  </cols>
  <sheetData>
    <row r="1" spans="2:12" s="13" customFormat="1" ht="15" x14ac:dyDescent="0.25">
      <c r="I1" s="65" t="s">
        <v>323</v>
      </c>
    </row>
    <row r="2" spans="2:12" s="13" customFormat="1" ht="15" x14ac:dyDescent="0.25"/>
    <row r="3" spans="2:12" s="13" customFormat="1" ht="15" x14ac:dyDescent="0.25">
      <c r="H3" s="1"/>
      <c r="I3" s="1"/>
      <c r="J3" s="14"/>
      <c r="K3" s="15"/>
      <c r="L3" s="14"/>
    </row>
    <row r="4" spans="2:12" s="15" customFormat="1" x14ac:dyDescent="0.2"/>
    <row r="5" spans="2:12" s="15" customFormat="1" x14ac:dyDescent="0.2"/>
    <row r="6" spans="2:12" s="15" customFormat="1" ht="15" customHeight="1" x14ac:dyDescent="0.25">
      <c r="B6" s="39" t="s">
        <v>115</v>
      </c>
      <c r="C6" s="398" t="s">
        <v>335</v>
      </c>
      <c r="D6" s="398"/>
      <c r="E6" s="398"/>
      <c r="F6" s="398"/>
      <c r="G6" s="398"/>
      <c r="H6" s="398"/>
      <c r="I6" s="398"/>
      <c r="J6" s="398"/>
    </row>
    <row r="7" spans="2:12" s="15" customFormat="1" x14ac:dyDescent="0.2">
      <c r="C7" s="30"/>
      <c r="D7" s="399"/>
      <c r="E7" s="399"/>
      <c r="F7" s="399"/>
      <c r="G7" s="399"/>
      <c r="H7" s="399"/>
      <c r="I7" s="399"/>
    </row>
    <row r="8" spans="2:12" s="15" customFormat="1" x14ac:dyDescent="0.2">
      <c r="C8" s="5"/>
      <c r="D8" s="5"/>
      <c r="E8" s="5"/>
      <c r="F8" s="5"/>
      <c r="G8" s="5"/>
      <c r="H8" s="5"/>
      <c r="I8" s="5"/>
    </row>
    <row r="9" spans="2:12" s="15" customFormat="1" x14ac:dyDescent="0.2">
      <c r="C9" s="2"/>
      <c r="D9" s="399"/>
      <c r="E9" s="399"/>
      <c r="F9" s="399"/>
      <c r="G9" s="399"/>
      <c r="H9" s="399"/>
      <c r="I9" s="399"/>
    </row>
    <row r="10" spans="2:12" s="15" customFormat="1" x14ac:dyDescent="0.2">
      <c r="C10" s="2"/>
      <c r="D10" s="28"/>
      <c r="E10" s="28"/>
      <c r="F10" s="28"/>
      <c r="G10" s="28"/>
      <c r="H10" s="28"/>
      <c r="I10" s="28"/>
    </row>
    <row r="11" spans="2:12" s="15" customFormat="1" x14ac:dyDescent="0.2">
      <c r="C11" s="5"/>
      <c r="D11" s="5"/>
      <c r="E11" s="5"/>
      <c r="F11" s="5"/>
      <c r="G11" s="5"/>
      <c r="H11" s="5"/>
      <c r="I11" s="5"/>
    </row>
    <row r="12" spans="2:12" s="15" customFormat="1" x14ac:dyDescent="0.2">
      <c r="C12" s="2"/>
      <c r="D12" s="3"/>
      <c r="E12" s="4"/>
      <c r="F12" s="3"/>
      <c r="G12" s="4"/>
      <c r="H12" s="3"/>
      <c r="I12" s="4"/>
    </row>
    <row r="13" spans="2:12" s="15" customFormat="1" x14ac:dyDescent="0.2">
      <c r="C13" s="5"/>
      <c r="D13" s="6"/>
      <c r="E13" s="7"/>
      <c r="F13" s="6"/>
      <c r="G13" s="7"/>
      <c r="H13" s="6"/>
      <c r="I13" s="7"/>
    </row>
    <row r="14" spans="2:12" s="15" customFormat="1" x14ac:dyDescent="0.2">
      <c r="C14" s="5"/>
      <c r="D14" s="10"/>
      <c r="E14" s="11"/>
      <c r="F14" s="6"/>
      <c r="G14" s="8"/>
      <c r="H14" s="6"/>
      <c r="I14" s="8"/>
    </row>
    <row r="15" spans="2:12" s="15" customFormat="1" x14ac:dyDescent="0.2">
      <c r="C15" s="5"/>
      <c r="D15" s="10"/>
      <c r="E15" s="11"/>
      <c r="F15" s="6"/>
      <c r="G15" s="8"/>
      <c r="H15" s="6"/>
      <c r="I15" s="8"/>
    </row>
    <row r="16" spans="2:12" s="15" customFormat="1" x14ac:dyDescent="0.2">
      <c r="C16" s="5"/>
      <c r="D16" s="10"/>
      <c r="E16" s="11"/>
      <c r="F16" s="6"/>
      <c r="G16" s="8"/>
      <c r="H16" s="6"/>
      <c r="I16" s="8"/>
    </row>
    <row r="17" spans="3:9" s="15" customFormat="1" x14ac:dyDescent="0.2">
      <c r="C17" s="5"/>
      <c r="D17" s="10"/>
      <c r="E17" s="11"/>
      <c r="F17" s="6"/>
      <c r="G17" s="8"/>
      <c r="H17" s="6"/>
      <c r="I17" s="8"/>
    </row>
    <row r="18" spans="3:9" s="15" customFormat="1" x14ac:dyDescent="0.2">
      <c r="C18" s="5"/>
      <c r="D18" s="10"/>
      <c r="E18" s="11"/>
      <c r="F18" s="6"/>
      <c r="G18" s="8"/>
      <c r="H18" s="6"/>
      <c r="I18" s="8"/>
    </row>
    <row r="19" spans="3:9" s="15" customFormat="1" ht="15" customHeight="1" x14ac:dyDescent="0.2">
      <c r="C19" s="41"/>
      <c r="D19" s="6"/>
      <c r="E19" s="8"/>
      <c r="F19" s="6"/>
      <c r="G19" s="8"/>
      <c r="H19" s="6"/>
      <c r="I19" s="8"/>
    </row>
    <row r="20" spans="3:9" s="15" customFormat="1" x14ac:dyDescent="0.2">
      <c r="C20" s="25"/>
      <c r="D20" s="25"/>
      <c r="E20" s="25"/>
      <c r="F20" s="25"/>
      <c r="G20" s="25"/>
      <c r="H20" s="25"/>
      <c r="I20" s="25"/>
    </row>
    <row r="21" spans="3:9" s="15" customFormat="1" x14ac:dyDescent="0.2">
      <c r="C21" s="25"/>
      <c r="D21" s="25"/>
      <c r="E21" s="25"/>
      <c r="F21" s="25"/>
      <c r="G21" s="25"/>
      <c r="H21" s="25"/>
      <c r="I21" s="25"/>
    </row>
    <row r="22" spans="3:9" s="15" customFormat="1" x14ac:dyDescent="0.2">
      <c r="C22" s="25"/>
      <c r="D22" s="25"/>
      <c r="E22" s="25"/>
      <c r="F22" s="25"/>
      <c r="G22" s="25"/>
      <c r="H22" s="25"/>
      <c r="I22" s="25"/>
    </row>
    <row r="23" spans="3:9" s="15" customFormat="1" x14ac:dyDescent="0.2">
      <c r="C23" s="25"/>
      <c r="D23" s="25"/>
      <c r="E23" s="25"/>
      <c r="F23" s="25"/>
      <c r="G23" s="25"/>
      <c r="H23" s="25"/>
      <c r="I23" s="25"/>
    </row>
    <row r="24" spans="3:9" s="15" customFormat="1" x14ac:dyDescent="0.2">
      <c r="C24" s="25"/>
      <c r="D24" s="25"/>
      <c r="E24" s="25"/>
      <c r="F24" s="25"/>
      <c r="G24" s="25"/>
      <c r="H24" s="25"/>
      <c r="I24" s="25"/>
    </row>
    <row r="25" spans="3:9" s="15" customFormat="1" x14ac:dyDescent="0.2">
      <c r="C25" s="30"/>
      <c r="D25" s="399"/>
      <c r="E25" s="399"/>
      <c r="F25" s="399"/>
      <c r="G25" s="399"/>
      <c r="H25" s="399"/>
      <c r="I25" s="399"/>
    </row>
    <row r="26" spans="3:9" s="15" customFormat="1" x14ac:dyDescent="0.2">
      <c r="C26" s="5"/>
      <c r="D26" s="5"/>
      <c r="E26" s="5"/>
      <c r="F26" s="5"/>
      <c r="G26" s="5"/>
      <c r="H26" s="5"/>
      <c r="I26" s="5"/>
    </row>
    <row r="27" spans="3:9" s="15" customFormat="1" x14ac:dyDescent="0.2">
      <c r="C27" s="2"/>
      <c r="D27" s="399"/>
      <c r="E27" s="399"/>
      <c r="F27" s="399"/>
      <c r="G27" s="399"/>
      <c r="H27" s="399"/>
      <c r="I27" s="399"/>
    </row>
    <row r="28" spans="3:9" s="15" customFormat="1" x14ac:dyDescent="0.2">
      <c r="C28" s="2"/>
      <c r="D28" s="28"/>
      <c r="E28" s="28"/>
      <c r="F28" s="28"/>
      <c r="G28" s="28"/>
      <c r="H28" s="28"/>
      <c r="I28" s="28"/>
    </row>
    <row r="29" spans="3:9" s="15" customFormat="1" x14ac:dyDescent="0.2">
      <c r="C29" s="5"/>
      <c r="D29" s="5"/>
      <c r="E29" s="5"/>
      <c r="F29" s="5"/>
      <c r="G29" s="5"/>
      <c r="H29" s="5"/>
      <c r="I29" s="5"/>
    </row>
    <row r="30" spans="3:9" s="15" customFormat="1" x14ac:dyDescent="0.2">
      <c r="C30" s="2"/>
      <c r="D30" s="3"/>
      <c r="E30" s="4"/>
      <c r="F30" s="3"/>
      <c r="G30" s="4"/>
      <c r="H30" s="3"/>
      <c r="I30" s="4"/>
    </row>
    <row r="31" spans="3:9" s="15" customFormat="1" x14ac:dyDescent="0.2">
      <c r="C31" s="5"/>
      <c r="D31" s="6"/>
      <c r="E31" s="7"/>
      <c r="F31" s="6"/>
      <c r="G31" s="7"/>
      <c r="H31" s="6"/>
      <c r="I31" s="7"/>
    </row>
    <row r="32" spans="3:9" s="15" customFormat="1" x14ac:dyDescent="0.2">
      <c r="C32" s="5"/>
      <c r="D32" s="10"/>
      <c r="E32" s="11"/>
      <c r="F32" s="6"/>
      <c r="G32" s="8"/>
      <c r="H32" s="6"/>
      <c r="I32" s="8"/>
    </row>
    <row r="33" spans="3:9" s="15" customFormat="1" x14ac:dyDescent="0.2">
      <c r="C33" s="5"/>
      <c r="D33" s="10"/>
      <c r="E33" s="11"/>
      <c r="F33" s="6"/>
      <c r="G33" s="8"/>
      <c r="H33" s="6"/>
      <c r="I33" s="8"/>
    </row>
    <row r="34" spans="3:9" s="15" customFormat="1" x14ac:dyDescent="0.2">
      <c r="C34" s="5"/>
      <c r="D34" s="10"/>
      <c r="E34" s="11"/>
      <c r="F34" s="6"/>
      <c r="G34" s="8"/>
      <c r="H34" s="6"/>
      <c r="I34" s="8"/>
    </row>
    <row r="35" spans="3:9" s="15" customFormat="1" x14ac:dyDescent="0.2">
      <c r="C35" s="5"/>
      <c r="D35" s="10"/>
      <c r="E35" s="11"/>
      <c r="F35" s="6"/>
      <c r="G35" s="8"/>
      <c r="H35" s="6"/>
      <c r="I35" s="8"/>
    </row>
    <row r="36" spans="3:9" s="15" customFormat="1" x14ac:dyDescent="0.2">
      <c r="C36" s="5"/>
      <c r="D36" s="10"/>
      <c r="E36" s="11"/>
      <c r="F36" s="6"/>
      <c r="G36" s="8"/>
      <c r="H36" s="6"/>
      <c r="I36" s="8"/>
    </row>
    <row r="37" spans="3:9" s="15" customFormat="1" ht="15" customHeight="1" x14ac:dyDescent="0.2">
      <c r="C37" s="41"/>
      <c r="D37" s="6"/>
      <c r="E37" s="11"/>
      <c r="F37" s="6"/>
      <c r="G37" s="8"/>
      <c r="H37" s="6"/>
      <c r="I37" s="8"/>
    </row>
    <row r="38" spans="3:9" s="15" customFormat="1" x14ac:dyDescent="0.2">
      <c r="C38" s="25"/>
      <c r="D38" s="25"/>
      <c r="E38" s="25"/>
      <c r="F38" s="25"/>
      <c r="G38" s="25"/>
      <c r="H38" s="25"/>
      <c r="I38" s="25"/>
    </row>
    <row r="39" spans="3:9" s="15" customFormat="1" x14ac:dyDescent="0.2"/>
    <row r="40" spans="3:9" s="15" customFormat="1" x14ac:dyDescent="0.2"/>
    <row r="41" spans="3:9" s="15" customFormat="1" x14ac:dyDescent="0.2"/>
    <row r="42" spans="3:9" s="15" customFormat="1" x14ac:dyDescent="0.2"/>
    <row r="43" spans="3:9" s="15" customFormat="1" x14ac:dyDescent="0.2"/>
    <row r="44" spans="3:9" s="15" customFormat="1" x14ac:dyDescent="0.2"/>
    <row r="45" spans="3:9" s="15" customFormat="1" x14ac:dyDescent="0.2"/>
    <row r="46" spans="3:9" s="15" customFormat="1" x14ac:dyDescent="0.2"/>
    <row r="47" spans="3:9" s="15" customFormat="1" x14ac:dyDescent="0.2"/>
    <row r="48" spans="3:9" s="15" customFormat="1" x14ac:dyDescent="0.2"/>
    <row r="49" spans="3:3" s="15" customFormat="1" x14ac:dyDescent="0.2"/>
    <row r="50" spans="3:3" s="15" customFormat="1" x14ac:dyDescent="0.2">
      <c r="C50" s="29" t="s">
        <v>38</v>
      </c>
    </row>
    <row r="51" spans="3:3" s="15" customFormat="1" x14ac:dyDescent="0.2"/>
  </sheetData>
  <mergeCells count="9">
    <mergeCell ref="C6:J6"/>
    <mergeCell ref="D27:E27"/>
    <mergeCell ref="F27:G27"/>
    <mergeCell ref="H27:I27"/>
    <mergeCell ref="D7:I7"/>
    <mergeCell ref="D9:E9"/>
    <mergeCell ref="F9:G9"/>
    <mergeCell ref="H9:I9"/>
    <mergeCell ref="D25:I25"/>
  </mergeCells>
  <pageMargins left="0.7" right="0.7" top="0.75" bottom="0.75" header="0.3" footer="0.3"/>
  <pageSetup scale="7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56321" r:id="rId4">
          <objectPr defaultSize="0" autoPict="0" r:id="rId5">
            <anchor moveWithCells="1" sizeWithCells="1">
              <from>
                <xdr:col>0</xdr:col>
                <xdr:colOff>9525</xdr:colOff>
                <xdr:row>0</xdr:row>
                <xdr:rowOff>28575</xdr:rowOff>
              </from>
              <to>
                <xdr:col>1</xdr:col>
                <xdr:colOff>304800</xdr:colOff>
                <xdr:row>2</xdr:row>
                <xdr:rowOff>152400</xdr:rowOff>
              </to>
            </anchor>
          </objectPr>
        </oleObject>
      </mc:Choice>
      <mc:Fallback>
        <oleObject progId="MSPhotoEd.3" shapeId="5632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.0</vt:lpstr>
      <vt:lpstr>.01</vt:lpstr>
      <vt:lpstr>.02</vt:lpstr>
      <vt:lpstr>.02cp2</vt:lpstr>
      <vt:lpstr>.03</vt:lpstr>
      <vt:lpstr>.04</vt:lpstr>
      <vt:lpstr>Life Table</vt:lpstr>
      <vt:lpstr>.06</vt:lpstr>
      <vt:lpstr>.01 Fig</vt:lpstr>
      <vt:lpstr>.07</vt:lpstr>
      <vt:lpstr>.08</vt:lpstr>
      <vt:lpstr>.09</vt:lpstr>
      <vt:lpstr>.10</vt:lpstr>
      <vt:lpstr>.11</vt:lpstr>
      <vt:lpstr>.12</vt:lpstr>
      <vt:lpstr>.13</vt:lpstr>
      <vt:lpstr>1.14</vt:lpstr>
      <vt:lpstr>1.15</vt:lpstr>
      <vt:lpstr>'.0'!Print_Area</vt:lpstr>
      <vt:lpstr>'.01'!Print_Area</vt:lpstr>
      <vt:lpstr>'.01 Fig'!Print_Area</vt:lpstr>
      <vt:lpstr>'.02'!Print_Area</vt:lpstr>
      <vt:lpstr>'.02cp2'!Print_Area</vt:lpstr>
      <vt:lpstr>'.03'!Print_Area</vt:lpstr>
      <vt:lpstr>'.04'!Print_Area</vt:lpstr>
      <vt:lpstr>'.06'!Print_Area</vt:lpstr>
      <vt:lpstr>'.07'!Print_Area</vt:lpstr>
      <vt:lpstr>'.08'!Print_Area</vt:lpstr>
      <vt:lpstr>'.09'!Print_Area</vt:lpstr>
      <vt:lpstr>'.10'!Print_Area</vt:lpstr>
      <vt:lpstr>'.11'!Print_Area</vt:lpstr>
      <vt:lpstr>'.12'!Print_Area</vt:lpstr>
      <vt:lpstr>'.13'!Print_Area</vt:lpstr>
      <vt:lpstr>'1.14'!Print_Area</vt:lpstr>
      <vt:lpstr>'1.15'!Print_Area</vt:lpstr>
      <vt:lpstr>'Life Table'!Print_Area</vt:lpstr>
    </vt:vector>
  </TitlesOfParts>
  <Company>CIG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CIG</dc:creator>
  <cp:lastModifiedBy>Ebanks, Narnia</cp:lastModifiedBy>
  <cp:lastPrinted>2023-08-21T15:03:50Z</cp:lastPrinted>
  <dcterms:created xsi:type="dcterms:W3CDTF">2012-06-11T20:18:28Z</dcterms:created>
  <dcterms:modified xsi:type="dcterms:W3CDTF">2023-08-23T21:54:24Z</dcterms:modified>
</cp:coreProperties>
</file>