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externalReferences>
    <externalReference r:id="rId6"/>
  </externalReferences>
  <definedNames>
    <definedName name="_xlnm.Print_Area" localSheetId="0">'.01a&amp;.01b'!$A$1:$W$55</definedName>
    <definedName name="_xlnm.Print_Area" localSheetId="1">'.01c &amp; .01d'!$A$1:$AA$56</definedName>
    <definedName name="_xlnm.Print_Area" localSheetId="2">'.02a &amp; .02b'!$A$1:$S$54</definedName>
    <definedName name="_xlnm.Print_Area" localSheetId="3">'.03a &amp; .03b'!$A$1:$R$52</definedName>
    <definedName name="_xlnm.Print_Area" localSheetId="4">'.04a &amp; .04b'!$A$1:$AS$55</definedName>
  </definedNames>
  <calcPr calcId="145621"/>
</workbook>
</file>

<file path=xl/calcChain.xml><?xml version="1.0" encoding="utf-8"?>
<calcChain xmlns="http://schemas.openxmlformats.org/spreadsheetml/2006/main">
  <c r="R28" i="4" l="1"/>
  <c r="R13" i="4"/>
  <c r="R28" i="2" l="1"/>
  <c r="R11" i="2"/>
  <c r="V27" i="1"/>
  <c r="V12" i="1"/>
  <c r="N28" i="3"/>
  <c r="N12" i="3"/>
  <c r="N28" i="2" l="1"/>
  <c r="O28" i="2"/>
  <c r="P28" i="2"/>
  <c r="Q28" i="2"/>
  <c r="N11" i="2"/>
  <c r="O11" i="2"/>
  <c r="P11" i="2"/>
  <c r="Q11" i="2"/>
  <c r="N28" i="4"/>
  <c r="O28" i="4"/>
  <c r="P28" i="4"/>
  <c r="Q28" i="4"/>
  <c r="N13" i="4"/>
  <c r="O13" i="4"/>
  <c r="P13" i="4"/>
  <c r="Q13" i="4"/>
  <c r="N27" i="1"/>
  <c r="O27" i="1"/>
  <c r="P27" i="1"/>
  <c r="Q27" i="1"/>
  <c r="R27" i="1"/>
  <c r="S27" i="1"/>
  <c r="T27" i="1"/>
  <c r="U27" i="1"/>
  <c r="N12" i="1"/>
  <c r="O12" i="1"/>
  <c r="P12" i="1"/>
  <c r="Q12" i="1"/>
  <c r="R12" i="1"/>
  <c r="S12" i="1"/>
  <c r="T12" i="1"/>
  <c r="U12" i="1"/>
  <c r="AM25" i="5" l="1"/>
  <c r="AN25" i="5"/>
  <c r="AO25" i="5"/>
  <c r="AP25" i="5"/>
  <c r="AQ25" i="5"/>
  <c r="AR25" i="5"/>
  <c r="AM20" i="5"/>
  <c r="AN20" i="5"/>
  <c r="AO20" i="5"/>
  <c r="AP20" i="5"/>
  <c r="AQ20" i="5"/>
  <c r="AR20" i="5"/>
  <c r="AL25" i="5" l="1"/>
  <c r="AK25" i="5"/>
  <c r="AJ25" i="5"/>
  <c r="AI25" i="5"/>
  <c r="AH25" i="5"/>
  <c r="AG25" i="5"/>
  <c r="AE25" i="5"/>
  <c r="AD25" i="5"/>
  <c r="AC25" i="5"/>
  <c r="AA25" i="5"/>
  <c r="Z25" i="5"/>
  <c r="Y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L20" i="5"/>
  <c r="AK20" i="5"/>
  <c r="AJ20" i="5"/>
  <c r="AI20" i="5"/>
  <c r="AH20" i="5"/>
  <c r="AG20" i="5"/>
  <c r="AE20" i="5"/>
  <c r="AD20" i="5"/>
  <c r="AC20" i="5"/>
  <c r="AA20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M28" i="3" l="1"/>
  <c r="M12" i="3"/>
  <c r="M28" i="2"/>
  <c r="M11" i="2"/>
  <c r="M28" i="4"/>
  <c r="M13" i="4"/>
  <c r="M27" i="1"/>
  <c r="M12" i="1"/>
  <c r="L28" i="3" l="1"/>
  <c r="L12" i="3"/>
  <c r="L28" i="2"/>
  <c r="L11" i="2"/>
  <c r="L28" i="4"/>
  <c r="L13" i="4"/>
  <c r="L27" i="1" l="1"/>
  <c r="L12" i="1"/>
  <c r="AP43" i="5" l="1"/>
  <c r="K28" i="4" l="1"/>
  <c r="K13" i="4"/>
  <c r="K28" i="2" l="1"/>
  <c r="J30" i="2"/>
  <c r="K33" i="1" l="1"/>
  <c r="K34" i="1" l="1"/>
  <c r="K35" i="1"/>
  <c r="K32" i="1"/>
  <c r="K31" i="1"/>
  <c r="K30" i="1"/>
  <c r="K29" i="1"/>
  <c r="K11" i="2"/>
  <c r="K12" i="1"/>
  <c r="K34" i="3"/>
  <c r="K36" i="3"/>
  <c r="K35" i="3"/>
  <c r="K30" i="3"/>
  <c r="K32" i="3"/>
  <c r="K31" i="3"/>
  <c r="K27" i="1" l="1"/>
  <c r="K28" i="3"/>
  <c r="K12" i="3"/>
  <c r="AF24" i="5" l="1"/>
  <c r="AF25" i="5" s="1"/>
  <c r="AB23" i="5"/>
  <c r="AB25" i="5" s="1"/>
  <c r="X23" i="5"/>
  <c r="X25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I43" i="5"/>
  <c r="AJ43" i="5"/>
  <c r="AK43" i="5"/>
  <c r="AL43" i="5"/>
  <c r="AM43" i="5"/>
  <c r="AN43" i="5"/>
  <c r="J28" i="4" l="1"/>
  <c r="J13" i="4"/>
  <c r="J36" i="3" l="1"/>
  <c r="J35" i="3"/>
  <c r="J34" i="3"/>
  <c r="J32" i="3"/>
  <c r="J28" i="3" s="1"/>
  <c r="J31" i="3"/>
  <c r="J30" i="3"/>
  <c r="J12" i="3"/>
  <c r="J36" i="2"/>
  <c r="J34" i="2"/>
  <c r="J33" i="2"/>
  <c r="J31" i="2"/>
  <c r="J11" i="2"/>
  <c r="J35" i="1"/>
  <c r="J34" i="1"/>
  <c r="J33" i="1"/>
  <c r="J32" i="1"/>
  <c r="J31" i="1"/>
  <c r="J30" i="1"/>
  <c r="J27" i="1" s="1"/>
  <c r="J29" i="1"/>
  <c r="J12" i="1"/>
  <c r="AN14" i="5"/>
  <c r="AM14" i="5"/>
  <c r="I27" i="1"/>
  <c r="I12" i="1"/>
  <c r="I12" i="3"/>
  <c r="D28" i="2"/>
  <c r="E28" i="2"/>
  <c r="F28" i="2"/>
  <c r="G28" i="2"/>
  <c r="H28" i="2"/>
  <c r="H12" i="3"/>
  <c r="H11" i="2"/>
  <c r="H13" i="4"/>
  <c r="H28" i="4"/>
  <c r="H27" i="1"/>
  <c r="H12" i="1"/>
  <c r="AL14" i="5"/>
  <c r="AJ28" i="5"/>
  <c r="AI28" i="5"/>
  <c r="AF19" i="5"/>
  <c r="AF20" i="5" s="1"/>
  <c r="AB18" i="5"/>
  <c r="AB20" i="5" s="1"/>
  <c r="X18" i="5"/>
  <c r="X20" i="5" s="1"/>
  <c r="AK14" i="5"/>
  <c r="AJ14" i="5"/>
  <c r="AI14" i="5"/>
  <c r="AH14" i="5"/>
  <c r="AG14" i="5"/>
  <c r="AF14" i="5"/>
  <c r="AE14" i="5"/>
  <c r="AD14" i="5"/>
  <c r="AC14" i="5"/>
  <c r="AA14" i="5"/>
  <c r="Z14" i="5"/>
  <c r="Y14" i="5"/>
  <c r="X14" i="5"/>
  <c r="W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V13" i="5"/>
  <c r="AB12" i="5"/>
  <c r="AB14" i="5" s="1"/>
  <c r="V12" i="5"/>
  <c r="O47" i="4"/>
  <c r="N47" i="4"/>
  <c r="O46" i="4"/>
  <c r="N46" i="4"/>
  <c r="F26" i="4"/>
  <c r="E26" i="4"/>
  <c r="D26" i="4"/>
  <c r="C26" i="4"/>
  <c r="Q27" i="3"/>
  <c r="P27" i="3"/>
  <c r="Q26" i="3"/>
  <c r="P26" i="3"/>
  <c r="F26" i="3"/>
  <c r="E26" i="3"/>
  <c r="D26" i="3"/>
  <c r="C26" i="3"/>
  <c r="F26" i="2"/>
  <c r="E26" i="2"/>
  <c r="D26" i="2"/>
  <c r="E35" i="1"/>
  <c r="E34" i="1"/>
  <c r="E32" i="1"/>
  <c r="E31" i="1"/>
  <c r="E30" i="1"/>
  <c r="E29" i="1"/>
  <c r="G27" i="1"/>
  <c r="F27" i="1"/>
  <c r="D27" i="1"/>
  <c r="C27" i="1"/>
  <c r="F25" i="1"/>
  <c r="E25" i="1"/>
  <c r="D25" i="1"/>
  <c r="C25" i="1"/>
  <c r="G12" i="1"/>
  <c r="F12" i="1"/>
  <c r="E12" i="1"/>
  <c r="D12" i="1"/>
  <c r="C12" i="1"/>
  <c r="E27" i="1"/>
  <c r="J28" i="2" l="1"/>
  <c r="V14" i="5"/>
</calcChain>
</file>

<file path=xl/sharedStrings.xml><?xml version="1.0" encoding="utf-8"?>
<sst xmlns="http://schemas.openxmlformats.org/spreadsheetml/2006/main" count="173" uniqueCount="56">
  <si>
    <t>Type of Development</t>
  </si>
  <si>
    <t>Total</t>
  </si>
  <si>
    <t>Apartment / Condominium</t>
  </si>
  <si>
    <t>Commercial</t>
  </si>
  <si>
    <t>Industrial</t>
  </si>
  <si>
    <t>Hotel (incl. expansions)</t>
  </si>
  <si>
    <t>Number of Approvals</t>
  </si>
  <si>
    <t xml:space="preserve">Value of Approvals </t>
  </si>
  <si>
    <t>Government</t>
  </si>
  <si>
    <t>Other</t>
  </si>
  <si>
    <t>CI$ (000')</t>
  </si>
  <si>
    <t>Apartment/Condominium</t>
  </si>
  <si>
    <t>Chart 10.04: Number and Value of Approved Developments by Sector, Grand Cayman, 2006-2010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</si>
  <si>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</si>
  <si>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</si>
  <si>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</si>
  <si>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STATISTICAL COMPENDIUM 2012</t>
  </si>
  <si>
    <t>16.01c</t>
  </si>
  <si>
    <t>16.01d</t>
  </si>
  <si>
    <t>-</t>
  </si>
  <si>
    <t>Value of Approval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</si>
  <si>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</si>
  <si>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</si>
  <si>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</si>
  <si>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</si>
  <si>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</si>
  <si>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</si>
  <si>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</si>
  <si>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</si>
  <si>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</si>
  <si>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</si>
  <si>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</si>
  <si>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</si>
  <si>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</si>
  <si>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</si>
  <si>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</si>
  <si>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</si>
  <si>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</si>
  <si>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</si>
  <si>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STATISTICAL COMPENDIUM 2014</t>
  </si>
  <si>
    <t>Building Permits in Grand Cayman, 2010-2014</t>
  </si>
  <si>
    <t>Value of Building Permits in Grand Cayman, 2010-2014</t>
  </si>
  <si>
    <t>Total Transfers</t>
  </si>
  <si>
    <t xml:space="preserve">16.04b </t>
  </si>
  <si>
    <t>Agriculture</t>
  </si>
  <si>
    <t>Land and Property Transfers, 2013 -  2018</t>
  </si>
  <si>
    <t>Charges Against Property and Land, 2013-2018</t>
  </si>
  <si>
    <t>COMPENDIUM OF STATISTICS 2018</t>
  </si>
  <si>
    <t>Value of Planning Approvals, by type of Development, Grand Cayman, 2015-2018</t>
  </si>
  <si>
    <t>Number of Planning Approvals, by type of Development, Grand Cayman, 2015-2018</t>
  </si>
  <si>
    <t>Number of Planning Approvals by Type of Development, Sister Islands, 2014 - 2018</t>
  </si>
  <si>
    <t>Value of Planning Approvals by Type of Development, Sister Islands, 2014 - 2018</t>
  </si>
  <si>
    <t>Builing Permits in Grand Cayman, 2015-2018</t>
  </si>
  <si>
    <t>Value of Builing Permits in Grand Cayman, 2015-2018</t>
  </si>
  <si>
    <t>Number of Certificates of Occupancy by Type of Development, Grand Cayman, 2014 - 2018</t>
  </si>
  <si>
    <t>Value of Certificates of Occupancy by Type of Development, Grand Cayman,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</si>
</sst>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0" fillId="0" borderId="0" xfId="0" applyFill="1"/>
    <xf numFmtId="0" fontId="6" fillId="0" borderId="0" xfId="0" applyFont="1" applyFill="1"/>
    <xf numFmtId="164" fontId="0" fillId="0" borderId="0" xfId="0" applyNumberFormat="1" applyFill="1"/>
    <xf numFmtId="164" fontId="0" fillId="0" borderId="0" xfId="1" applyNumberFormat="1" applyFont="1" applyFill="1"/>
    <xf numFmtId="164" fontId="6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167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3" fontId="2" fillId="0" borderId="0" xfId="0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2" fontId="3" fillId="0" borderId="0" xfId="0" applyNumberFormat="1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1" applyNumberFormat="1" applyFont="1" applyFill="1" applyBorder="1"/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 applyAlignment="1">
      <alignment horizontal="right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/>
    <cellStyle name="Comma 3" xf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505433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28575</xdr:rowOff>
        </xdr:from>
        <xdr:to>
          <xdr:col>1</xdr:col>
          <xdr:colOff>895350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2</xdr:col>
          <xdr:colOff>316960</xdr:colOff>
          <xdr:row>4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07\Real%20Estate\Lands%20&amp;%20Property%20Transfers%20Jan%20-%20Dec%202006%20&amp;%202007%20(%20Recieved%2027%20Feb%2020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Sheet2"/>
      <sheetName val="Sheet3"/>
    </sheetNames>
    <sheetDataSet>
      <sheetData sheetId="0">
        <row r="24">
          <cell r="E24">
            <v>4128251</v>
          </cell>
          <cell r="G24">
            <v>114956429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zoomScaleNormal="100" zoomScaleSheetLayoutView="100" workbookViewId="0">
      <selection activeCell="K2" sqref="K2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5" width="12.28515625" style="1" hidden="1" customWidth="1"/>
    <col min="6" max="7" width="10.140625" style="1" hidden="1" customWidth="1"/>
    <col min="8" max="8" width="10.42578125" style="1" hidden="1" customWidth="1"/>
    <col min="9" max="10" width="10.140625" style="1" hidden="1" customWidth="1"/>
    <col min="11" max="12" width="12.28515625" style="1"/>
    <col min="13" max="13" width="15.28515625" style="1" customWidth="1"/>
    <col min="14" max="14" width="0" style="1" hidden="1" customWidth="1"/>
    <col min="15" max="15" width="19.140625" style="1" hidden="1" customWidth="1"/>
    <col min="16" max="21" width="0" style="1" hidden="1" customWidth="1"/>
    <col min="22" max="259" width="12.28515625" style="1"/>
    <col min="260" max="260" width="4.42578125" style="1" customWidth="1"/>
    <col min="261" max="261" width="23.140625" style="1" customWidth="1"/>
    <col min="262" max="266" width="12.28515625" style="1" customWidth="1"/>
    <col min="267" max="267" width="4.42578125" style="1" customWidth="1"/>
    <col min="268" max="515" width="12.28515625" style="1"/>
    <col min="516" max="516" width="4.42578125" style="1" customWidth="1"/>
    <col min="517" max="517" width="23.140625" style="1" customWidth="1"/>
    <col min="518" max="522" width="12.28515625" style="1" customWidth="1"/>
    <col min="523" max="523" width="4.42578125" style="1" customWidth="1"/>
    <col min="524" max="771" width="12.28515625" style="1"/>
    <col min="772" max="772" width="4.42578125" style="1" customWidth="1"/>
    <col min="773" max="773" width="23.140625" style="1" customWidth="1"/>
    <col min="774" max="778" width="12.28515625" style="1" customWidth="1"/>
    <col min="779" max="779" width="4.42578125" style="1" customWidth="1"/>
    <col min="780" max="1027" width="12.28515625" style="1"/>
    <col min="1028" max="1028" width="4.42578125" style="1" customWidth="1"/>
    <col min="1029" max="1029" width="23.140625" style="1" customWidth="1"/>
    <col min="1030" max="1034" width="12.28515625" style="1" customWidth="1"/>
    <col min="1035" max="1035" width="4.42578125" style="1" customWidth="1"/>
    <col min="1036" max="1283" width="12.28515625" style="1"/>
    <col min="1284" max="1284" width="4.42578125" style="1" customWidth="1"/>
    <col min="1285" max="1285" width="23.140625" style="1" customWidth="1"/>
    <col min="1286" max="1290" width="12.28515625" style="1" customWidth="1"/>
    <col min="1291" max="1291" width="4.42578125" style="1" customWidth="1"/>
    <col min="1292" max="1539" width="12.28515625" style="1"/>
    <col min="1540" max="1540" width="4.42578125" style="1" customWidth="1"/>
    <col min="1541" max="1541" width="23.140625" style="1" customWidth="1"/>
    <col min="1542" max="1546" width="12.28515625" style="1" customWidth="1"/>
    <col min="1547" max="1547" width="4.42578125" style="1" customWidth="1"/>
    <col min="1548" max="1795" width="12.28515625" style="1"/>
    <col min="1796" max="1796" width="4.42578125" style="1" customWidth="1"/>
    <col min="1797" max="1797" width="23.140625" style="1" customWidth="1"/>
    <col min="1798" max="1802" width="12.28515625" style="1" customWidth="1"/>
    <col min="1803" max="1803" width="4.42578125" style="1" customWidth="1"/>
    <col min="1804" max="2051" width="12.28515625" style="1"/>
    <col min="2052" max="2052" width="4.42578125" style="1" customWidth="1"/>
    <col min="2053" max="2053" width="23.140625" style="1" customWidth="1"/>
    <col min="2054" max="2058" width="12.28515625" style="1" customWidth="1"/>
    <col min="2059" max="2059" width="4.42578125" style="1" customWidth="1"/>
    <col min="2060" max="2307" width="12.28515625" style="1"/>
    <col min="2308" max="2308" width="4.42578125" style="1" customWidth="1"/>
    <col min="2309" max="2309" width="23.140625" style="1" customWidth="1"/>
    <col min="2310" max="2314" width="12.28515625" style="1" customWidth="1"/>
    <col min="2315" max="2315" width="4.42578125" style="1" customWidth="1"/>
    <col min="2316" max="2563" width="12.28515625" style="1"/>
    <col min="2564" max="2564" width="4.42578125" style="1" customWidth="1"/>
    <col min="2565" max="2565" width="23.140625" style="1" customWidth="1"/>
    <col min="2566" max="2570" width="12.28515625" style="1" customWidth="1"/>
    <col min="2571" max="2571" width="4.42578125" style="1" customWidth="1"/>
    <col min="2572" max="2819" width="12.28515625" style="1"/>
    <col min="2820" max="2820" width="4.42578125" style="1" customWidth="1"/>
    <col min="2821" max="2821" width="23.140625" style="1" customWidth="1"/>
    <col min="2822" max="2826" width="12.28515625" style="1" customWidth="1"/>
    <col min="2827" max="2827" width="4.42578125" style="1" customWidth="1"/>
    <col min="2828" max="3075" width="12.28515625" style="1"/>
    <col min="3076" max="3076" width="4.42578125" style="1" customWidth="1"/>
    <col min="3077" max="3077" width="23.140625" style="1" customWidth="1"/>
    <col min="3078" max="3082" width="12.28515625" style="1" customWidth="1"/>
    <col min="3083" max="3083" width="4.42578125" style="1" customWidth="1"/>
    <col min="3084" max="3331" width="12.28515625" style="1"/>
    <col min="3332" max="3332" width="4.42578125" style="1" customWidth="1"/>
    <col min="3333" max="3333" width="23.140625" style="1" customWidth="1"/>
    <col min="3334" max="3338" width="12.28515625" style="1" customWidth="1"/>
    <col min="3339" max="3339" width="4.42578125" style="1" customWidth="1"/>
    <col min="3340" max="3587" width="12.28515625" style="1"/>
    <col min="3588" max="3588" width="4.42578125" style="1" customWidth="1"/>
    <col min="3589" max="3589" width="23.140625" style="1" customWidth="1"/>
    <col min="3590" max="3594" width="12.28515625" style="1" customWidth="1"/>
    <col min="3595" max="3595" width="4.42578125" style="1" customWidth="1"/>
    <col min="3596" max="3843" width="12.28515625" style="1"/>
    <col min="3844" max="3844" width="4.42578125" style="1" customWidth="1"/>
    <col min="3845" max="3845" width="23.140625" style="1" customWidth="1"/>
    <col min="3846" max="3850" width="12.28515625" style="1" customWidth="1"/>
    <col min="3851" max="3851" width="4.42578125" style="1" customWidth="1"/>
    <col min="3852" max="4099" width="12.28515625" style="1"/>
    <col min="4100" max="4100" width="4.42578125" style="1" customWidth="1"/>
    <col min="4101" max="4101" width="23.140625" style="1" customWidth="1"/>
    <col min="4102" max="4106" width="12.28515625" style="1" customWidth="1"/>
    <col min="4107" max="4107" width="4.42578125" style="1" customWidth="1"/>
    <col min="4108" max="4355" width="12.28515625" style="1"/>
    <col min="4356" max="4356" width="4.42578125" style="1" customWidth="1"/>
    <col min="4357" max="4357" width="23.140625" style="1" customWidth="1"/>
    <col min="4358" max="4362" width="12.28515625" style="1" customWidth="1"/>
    <col min="4363" max="4363" width="4.42578125" style="1" customWidth="1"/>
    <col min="4364" max="4611" width="12.28515625" style="1"/>
    <col min="4612" max="4612" width="4.42578125" style="1" customWidth="1"/>
    <col min="4613" max="4613" width="23.140625" style="1" customWidth="1"/>
    <col min="4614" max="4618" width="12.28515625" style="1" customWidth="1"/>
    <col min="4619" max="4619" width="4.42578125" style="1" customWidth="1"/>
    <col min="4620" max="4867" width="12.28515625" style="1"/>
    <col min="4868" max="4868" width="4.42578125" style="1" customWidth="1"/>
    <col min="4869" max="4869" width="23.140625" style="1" customWidth="1"/>
    <col min="4870" max="4874" width="12.28515625" style="1" customWidth="1"/>
    <col min="4875" max="4875" width="4.42578125" style="1" customWidth="1"/>
    <col min="4876" max="5123" width="12.28515625" style="1"/>
    <col min="5124" max="5124" width="4.42578125" style="1" customWidth="1"/>
    <col min="5125" max="5125" width="23.140625" style="1" customWidth="1"/>
    <col min="5126" max="5130" width="12.28515625" style="1" customWidth="1"/>
    <col min="5131" max="5131" width="4.42578125" style="1" customWidth="1"/>
    <col min="5132" max="5379" width="12.28515625" style="1"/>
    <col min="5380" max="5380" width="4.42578125" style="1" customWidth="1"/>
    <col min="5381" max="5381" width="23.140625" style="1" customWidth="1"/>
    <col min="5382" max="5386" width="12.28515625" style="1" customWidth="1"/>
    <col min="5387" max="5387" width="4.42578125" style="1" customWidth="1"/>
    <col min="5388" max="5635" width="12.28515625" style="1"/>
    <col min="5636" max="5636" width="4.42578125" style="1" customWidth="1"/>
    <col min="5637" max="5637" width="23.140625" style="1" customWidth="1"/>
    <col min="5638" max="5642" width="12.28515625" style="1" customWidth="1"/>
    <col min="5643" max="5643" width="4.42578125" style="1" customWidth="1"/>
    <col min="5644" max="5891" width="12.28515625" style="1"/>
    <col min="5892" max="5892" width="4.42578125" style="1" customWidth="1"/>
    <col min="5893" max="5893" width="23.140625" style="1" customWidth="1"/>
    <col min="5894" max="5898" width="12.28515625" style="1" customWidth="1"/>
    <col min="5899" max="5899" width="4.42578125" style="1" customWidth="1"/>
    <col min="5900" max="6147" width="12.28515625" style="1"/>
    <col min="6148" max="6148" width="4.42578125" style="1" customWidth="1"/>
    <col min="6149" max="6149" width="23.140625" style="1" customWidth="1"/>
    <col min="6150" max="6154" width="12.28515625" style="1" customWidth="1"/>
    <col min="6155" max="6155" width="4.42578125" style="1" customWidth="1"/>
    <col min="6156" max="6403" width="12.28515625" style="1"/>
    <col min="6404" max="6404" width="4.42578125" style="1" customWidth="1"/>
    <col min="6405" max="6405" width="23.140625" style="1" customWidth="1"/>
    <col min="6406" max="6410" width="12.28515625" style="1" customWidth="1"/>
    <col min="6411" max="6411" width="4.42578125" style="1" customWidth="1"/>
    <col min="6412" max="6659" width="12.28515625" style="1"/>
    <col min="6660" max="6660" width="4.42578125" style="1" customWidth="1"/>
    <col min="6661" max="6661" width="23.140625" style="1" customWidth="1"/>
    <col min="6662" max="6666" width="12.28515625" style="1" customWidth="1"/>
    <col min="6667" max="6667" width="4.42578125" style="1" customWidth="1"/>
    <col min="6668" max="6915" width="12.28515625" style="1"/>
    <col min="6916" max="6916" width="4.42578125" style="1" customWidth="1"/>
    <col min="6917" max="6917" width="23.140625" style="1" customWidth="1"/>
    <col min="6918" max="6922" width="12.28515625" style="1" customWidth="1"/>
    <col min="6923" max="6923" width="4.42578125" style="1" customWidth="1"/>
    <col min="6924" max="7171" width="12.28515625" style="1"/>
    <col min="7172" max="7172" width="4.42578125" style="1" customWidth="1"/>
    <col min="7173" max="7173" width="23.140625" style="1" customWidth="1"/>
    <col min="7174" max="7178" width="12.28515625" style="1" customWidth="1"/>
    <col min="7179" max="7179" width="4.42578125" style="1" customWidth="1"/>
    <col min="7180" max="7427" width="12.28515625" style="1"/>
    <col min="7428" max="7428" width="4.42578125" style="1" customWidth="1"/>
    <col min="7429" max="7429" width="23.140625" style="1" customWidth="1"/>
    <col min="7430" max="7434" width="12.28515625" style="1" customWidth="1"/>
    <col min="7435" max="7435" width="4.42578125" style="1" customWidth="1"/>
    <col min="7436" max="7683" width="12.28515625" style="1"/>
    <col min="7684" max="7684" width="4.42578125" style="1" customWidth="1"/>
    <col min="7685" max="7685" width="23.140625" style="1" customWidth="1"/>
    <col min="7686" max="7690" width="12.28515625" style="1" customWidth="1"/>
    <col min="7691" max="7691" width="4.42578125" style="1" customWidth="1"/>
    <col min="7692" max="7939" width="12.28515625" style="1"/>
    <col min="7940" max="7940" width="4.42578125" style="1" customWidth="1"/>
    <col min="7941" max="7941" width="23.140625" style="1" customWidth="1"/>
    <col min="7942" max="7946" width="12.28515625" style="1" customWidth="1"/>
    <col min="7947" max="7947" width="4.42578125" style="1" customWidth="1"/>
    <col min="7948" max="8195" width="12.28515625" style="1"/>
    <col min="8196" max="8196" width="4.42578125" style="1" customWidth="1"/>
    <col min="8197" max="8197" width="23.140625" style="1" customWidth="1"/>
    <col min="8198" max="8202" width="12.28515625" style="1" customWidth="1"/>
    <col min="8203" max="8203" width="4.42578125" style="1" customWidth="1"/>
    <col min="8204" max="8451" width="12.28515625" style="1"/>
    <col min="8452" max="8452" width="4.42578125" style="1" customWidth="1"/>
    <col min="8453" max="8453" width="23.140625" style="1" customWidth="1"/>
    <col min="8454" max="8458" width="12.28515625" style="1" customWidth="1"/>
    <col min="8459" max="8459" width="4.42578125" style="1" customWidth="1"/>
    <col min="8460" max="8707" width="12.28515625" style="1"/>
    <col min="8708" max="8708" width="4.42578125" style="1" customWidth="1"/>
    <col min="8709" max="8709" width="23.140625" style="1" customWidth="1"/>
    <col min="8710" max="8714" width="12.28515625" style="1" customWidth="1"/>
    <col min="8715" max="8715" width="4.42578125" style="1" customWidth="1"/>
    <col min="8716" max="8963" width="12.28515625" style="1"/>
    <col min="8964" max="8964" width="4.42578125" style="1" customWidth="1"/>
    <col min="8965" max="8965" width="23.140625" style="1" customWidth="1"/>
    <col min="8966" max="8970" width="12.28515625" style="1" customWidth="1"/>
    <col min="8971" max="8971" width="4.42578125" style="1" customWidth="1"/>
    <col min="8972" max="9219" width="12.28515625" style="1"/>
    <col min="9220" max="9220" width="4.42578125" style="1" customWidth="1"/>
    <col min="9221" max="9221" width="23.140625" style="1" customWidth="1"/>
    <col min="9222" max="9226" width="12.28515625" style="1" customWidth="1"/>
    <col min="9227" max="9227" width="4.42578125" style="1" customWidth="1"/>
    <col min="9228" max="9475" width="12.28515625" style="1"/>
    <col min="9476" max="9476" width="4.42578125" style="1" customWidth="1"/>
    <col min="9477" max="9477" width="23.140625" style="1" customWidth="1"/>
    <col min="9478" max="9482" width="12.28515625" style="1" customWidth="1"/>
    <col min="9483" max="9483" width="4.42578125" style="1" customWidth="1"/>
    <col min="9484" max="9731" width="12.28515625" style="1"/>
    <col min="9732" max="9732" width="4.42578125" style="1" customWidth="1"/>
    <col min="9733" max="9733" width="23.140625" style="1" customWidth="1"/>
    <col min="9734" max="9738" width="12.28515625" style="1" customWidth="1"/>
    <col min="9739" max="9739" width="4.42578125" style="1" customWidth="1"/>
    <col min="9740" max="9987" width="12.28515625" style="1"/>
    <col min="9988" max="9988" width="4.42578125" style="1" customWidth="1"/>
    <col min="9989" max="9989" width="23.140625" style="1" customWidth="1"/>
    <col min="9990" max="9994" width="12.28515625" style="1" customWidth="1"/>
    <col min="9995" max="9995" width="4.42578125" style="1" customWidth="1"/>
    <col min="9996" max="10243" width="12.28515625" style="1"/>
    <col min="10244" max="10244" width="4.42578125" style="1" customWidth="1"/>
    <col min="10245" max="10245" width="23.140625" style="1" customWidth="1"/>
    <col min="10246" max="10250" width="12.28515625" style="1" customWidth="1"/>
    <col min="10251" max="10251" width="4.42578125" style="1" customWidth="1"/>
    <col min="10252" max="10499" width="12.28515625" style="1"/>
    <col min="10500" max="10500" width="4.42578125" style="1" customWidth="1"/>
    <col min="10501" max="10501" width="23.140625" style="1" customWidth="1"/>
    <col min="10502" max="10506" width="12.28515625" style="1" customWidth="1"/>
    <col min="10507" max="10507" width="4.42578125" style="1" customWidth="1"/>
    <col min="10508" max="10755" width="12.28515625" style="1"/>
    <col min="10756" max="10756" width="4.42578125" style="1" customWidth="1"/>
    <col min="10757" max="10757" width="23.140625" style="1" customWidth="1"/>
    <col min="10758" max="10762" width="12.28515625" style="1" customWidth="1"/>
    <col min="10763" max="10763" width="4.42578125" style="1" customWidth="1"/>
    <col min="10764" max="11011" width="12.28515625" style="1"/>
    <col min="11012" max="11012" width="4.42578125" style="1" customWidth="1"/>
    <col min="11013" max="11013" width="23.140625" style="1" customWidth="1"/>
    <col min="11014" max="11018" width="12.28515625" style="1" customWidth="1"/>
    <col min="11019" max="11019" width="4.42578125" style="1" customWidth="1"/>
    <col min="11020" max="11267" width="12.28515625" style="1"/>
    <col min="11268" max="11268" width="4.42578125" style="1" customWidth="1"/>
    <col min="11269" max="11269" width="23.140625" style="1" customWidth="1"/>
    <col min="11270" max="11274" width="12.28515625" style="1" customWidth="1"/>
    <col min="11275" max="11275" width="4.42578125" style="1" customWidth="1"/>
    <col min="11276" max="11523" width="12.28515625" style="1"/>
    <col min="11524" max="11524" width="4.42578125" style="1" customWidth="1"/>
    <col min="11525" max="11525" width="23.140625" style="1" customWidth="1"/>
    <col min="11526" max="11530" width="12.28515625" style="1" customWidth="1"/>
    <col min="11531" max="11531" width="4.42578125" style="1" customWidth="1"/>
    <col min="11532" max="11779" width="12.28515625" style="1"/>
    <col min="11780" max="11780" width="4.42578125" style="1" customWidth="1"/>
    <col min="11781" max="11781" width="23.140625" style="1" customWidth="1"/>
    <col min="11782" max="11786" width="12.28515625" style="1" customWidth="1"/>
    <col min="11787" max="11787" width="4.42578125" style="1" customWidth="1"/>
    <col min="11788" max="12035" width="12.28515625" style="1"/>
    <col min="12036" max="12036" width="4.42578125" style="1" customWidth="1"/>
    <col min="12037" max="12037" width="23.140625" style="1" customWidth="1"/>
    <col min="12038" max="12042" width="12.28515625" style="1" customWidth="1"/>
    <col min="12043" max="12043" width="4.42578125" style="1" customWidth="1"/>
    <col min="12044" max="12291" width="12.28515625" style="1"/>
    <col min="12292" max="12292" width="4.42578125" style="1" customWidth="1"/>
    <col min="12293" max="12293" width="23.140625" style="1" customWidth="1"/>
    <col min="12294" max="12298" width="12.28515625" style="1" customWidth="1"/>
    <col min="12299" max="12299" width="4.42578125" style="1" customWidth="1"/>
    <col min="12300" max="12547" width="12.28515625" style="1"/>
    <col min="12548" max="12548" width="4.42578125" style="1" customWidth="1"/>
    <col min="12549" max="12549" width="23.140625" style="1" customWidth="1"/>
    <col min="12550" max="12554" width="12.28515625" style="1" customWidth="1"/>
    <col min="12555" max="12555" width="4.42578125" style="1" customWidth="1"/>
    <col min="12556" max="12803" width="12.28515625" style="1"/>
    <col min="12804" max="12804" width="4.42578125" style="1" customWidth="1"/>
    <col min="12805" max="12805" width="23.140625" style="1" customWidth="1"/>
    <col min="12806" max="12810" width="12.28515625" style="1" customWidth="1"/>
    <col min="12811" max="12811" width="4.42578125" style="1" customWidth="1"/>
    <col min="12812" max="13059" width="12.28515625" style="1"/>
    <col min="13060" max="13060" width="4.42578125" style="1" customWidth="1"/>
    <col min="13061" max="13061" width="23.140625" style="1" customWidth="1"/>
    <col min="13062" max="13066" width="12.28515625" style="1" customWidth="1"/>
    <col min="13067" max="13067" width="4.42578125" style="1" customWidth="1"/>
    <col min="13068" max="13315" width="12.28515625" style="1"/>
    <col min="13316" max="13316" width="4.42578125" style="1" customWidth="1"/>
    <col min="13317" max="13317" width="23.140625" style="1" customWidth="1"/>
    <col min="13318" max="13322" width="12.28515625" style="1" customWidth="1"/>
    <col min="13323" max="13323" width="4.42578125" style="1" customWidth="1"/>
    <col min="13324" max="13571" width="12.28515625" style="1"/>
    <col min="13572" max="13572" width="4.42578125" style="1" customWidth="1"/>
    <col min="13573" max="13573" width="23.140625" style="1" customWidth="1"/>
    <col min="13574" max="13578" width="12.28515625" style="1" customWidth="1"/>
    <col min="13579" max="13579" width="4.42578125" style="1" customWidth="1"/>
    <col min="13580" max="13827" width="12.28515625" style="1"/>
    <col min="13828" max="13828" width="4.42578125" style="1" customWidth="1"/>
    <col min="13829" max="13829" width="23.140625" style="1" customWidth="1"/>
    <col min="13830" max="13834" width="12.28515625" style="1" customWidth="1"/>
    <col min="13835" max="13835" width="4.42578125" style="1" customWidth="1"/>
    <col min="13836" max="14083" width="12.28515625" style="1"/>
    <col min="14084" max="14084" width="4.42578125" style="1" customWidth="1"/>
    <col min="14085" max="14085" width="23.140625" style="1" customWidth="1"/>
    <col min="14086" max="14090" width="12.28515625" style="1" customWidth="1"/>
    <col min="14091" max="14091" width="4.42578125" style="1" customWidth="1"/>
    <col min="14092" max="14339" width="12.28515625" style="1"/>
    <col min="14340" max="14340" width="4.42578125" style="1" customWidth="1"/>
    <col min="14341" max="14341" width="23.140625" style="1" customWidth="1"/>
    <col min="14342" max="14346" width="12.28515625" style="1" customWidth="1"/>
    <col min="14347" max="14347" width="4.42578125" style="1" customWidth="1"/>
    <col min="14348" max="14595" width="12.28515625" style="1"/>
    <col min="14596" max="14596" width="4.42578125" style="1" customWidth="1"/>
    <col min="14597" max="14597" width="23.140625" style="1" customWidth="1"/>
    <col min="14598" max="14602" width="12.28515625" style="1" customWidth="1"/>
    <col min="14603" max="14603" width="4.42578125" style="1" customWidth="1"/>
    <col min="14604" max="14851" width="12.28515625" style="1"/>
    <col min="14852" max="14852" width="4.42578125" style="1" customWidth="1"/>
    <col min="14853" max="14853" width="23.140625" style="1" customWidth="1"/>
    <col min="14854" max="14858" width="12.28515625" style="1" customWidth="1"/>
    <col min="14859" max="14859" width="4.42578125" style="1" customWidth="1"/>
    <col min="14860" max="15107" width="12.28515625" style="1"/>
    <col min="15108" max="15108" width="4.42578125" style="1" customWidth="1"/>
    <col min="15109" max="15109" width="23.140625" style="1" customWidth="1"/>
    <col min="15110" max="15114" width="12.28515625" style="1" customWidth="1"/>
    <col min="15115" max="15115" width="4.42578125" style="1" customWidth="1"/>
    <col min="15116" max="15363" width="12.28515625" style="1"/>
    <col min="15364" max="15364" width="4.42578125" style="1" customWidth="1"/>
    <col min="15365" max="15365" width="23.140625" style="1" customWidth="1"/>
    <col min="15366" max="15370" width="12.28515625" style="1" customWidth="1"/>
    <col min="15371" max="15371" width="4.42578125" style="1" customWidth="1"/>
    <col min="15372" max="15619" width="12.28515625" style="1"/>
    <col min="15620" max="15620" width="4.42578125" style="1" customWidth="1"/>
    <col min="15621" max="15621" width="23.140625" style="1" customWidth="1"/>
    <col min="15622" max="15626" width="12.28515625" style="1" customWidth="1"/>
    <col min="15627" max="15627" width="4.42578125" style="1" customWidth="1"/>
    <col min="15628" max="15875" width="12.28515625" style="1"/>
    <col min="15876" max="15876" width="4.42578125" style="1" customWidth="1"/>
    <col min="15877" max="15877" width="23.140625" style="1" customWidth="1"/>
    <col min="15878" max="15882" width="12.28515625" style="1" customWidth="1"/>
    <col min="15883" max="15883" width="4.42578125" style="1" customWidth="1"/>
    <col min="15884" max="16131" width="12.28515625" style="1"/>
    <col min="16132" max="16132" width="4.42578125" style="1" customWidth="1"/>
    <col min="16133" max="16133" width="23.140625" style="1" customWidth="1"/>
    <col min="16134" max="16138" width="12.28515625" style="1" customWidth="1"/>
    <col min="16139" max="16139" width="4.42578125" style="1" customWidth="1"/>
    <col min="16140" max="16384" width="12.28515625" style="1"/>
  </cols>
  <sheetData>
    <row r="1" spans="1:46" x14ac:dyDescent="0.2"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3" spans="1:46" x14ac:dyDescent="0.2">
      <c r="M3" s="2" t="s">
        <v>47</v>
      </c>
    </row>
    <row r="4" spans="1:46" x14ac:dyDescent="0.2">
      <c r="C4" s="3"/>
      <c r="D4" s="3"/>
      <c r="E4" s="3"/>
      <c r="F4" s="3"/>
      <c r="G4" s="3"/>
      <c r="H4" s="4"/>
    </row>
    <row r="7" spans="1:46" ht="25.5" customHeight="1" x14ac:dyDescent="0.2">
      <c r="A7" s="72" t="s">
        <v>14</v>
      </c>
      <c r="C7" s="73"/>
      <c r="D7" s="73"/>
      <c r="E7" s="73"/>
      <c r="F7" s="73"/>
      <c r="G7" s="73"/>
      <c r="H7" s="73"/>
      <c r="I7" s="3"/>
      <c r="J7" s="3"/>
      <c r="K7" s="84" t="s">
        <v>49</v>
      </c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spans="1:46" ht="12.75" customHeight="1" x14ac:dyDescent="0.2">
      <c r="A8" s="2"/>
      <c r="B8" s="72"/>
      <c r="C8" s="73"/>
      <c r="D8" s="73"/>
      <c r="E8" s="73"/>
      <c r="F8" s="73"/>
      <c r="G8" s="73"/>
      <c r="H8" s="73"/>
    </row>
    <row r="9" spans="1:46" ht="12.75" customHeight="1" x14ac:dyDescent="0.2">
      <c r="A9" s="2"/>
      <c r="B9" s="5"/>
      <c r="C9" s="6"/>
      <c r="D9" s="6"/>
      <c r="E9" s="6"/>
      <c r="F9" s="6"/>
      <c r="G9" s="6"/>
      <c r="H9" s="6"/>
    </row>
    <row r="10" spans="1:46" x14ac:dyDescent="0.2">
      <c r="A10" s="7"/>
      <c r="B10" s="8" t="s">
        <v>0</v>
      </c>
      <c r="C10" s="9">
        <v>2007</v>
      </c>
      <c r="D10" s="9">
        <v>2008</v>
      </c>
      <c r="E10" s="9">
        <v>2009</v>
      </c>
      <c r="F10" s="9">
        <v>2010</v>
      </c>
      <c r="G10" s="10">
        <v>2011</v>
      </c>
      <c r="H10" s="10">
        <v>2012</v>
      </c>
      <c r="I10" s="10">
        <v>2013</v>
      </c>
      <c r="J10" s="10">
        <v>2014</v>
      </c>
      <c r="K10" s="10">
        <v>2015</v>
      </c>
      <c r="L10" s="10">
        <v>2016</v>
      </c>
      <c r="M10" s="10">
        <v>2017</v>
      </c>
      <c r="N10" s="10">
        <v>2018</v>
      </c>
      <c r="O10" s="10">
        <v>2019</v>
      </c>
      <c r="P10" s="10">
        <v>2020</v>
      </c>
      <c r="Q10" s="10">
        <v>2021</v>
      </c>
      <c r="R10" s="10">
        <v>2022</v>
      </c>
      <c r="S10" s="10">
        <v>2023</v>
      </c>
      <c r="T10" s="10">
        <v>2024</v>
      </c>
      <c r="U10" s="10">
        <v>2025</v>
      </c>
      <c r="V10" s="10">
        <v>2018</v>
      </c>
    </row>
    <row r="11" spans="1:46" x14ac:dyDescent="0.2">
      <c r="A11" s="7"/>
      <c r="B11" s="11"/>
      <c r="C11" s="12"/>
      <c r="D11" s="12"/>
      <c r="E11" s="12"/>
      <c r="F11" s="12"/>
    </row>
    <row r="12" spans="1:46" x14ac:dyDescent="0.2">
      <c r="A12" s="7"/>
      <c r="B12" s="13" t="s">
        <v>1</v>
      </c>
      <c r="C12" s="14">
        <f t="shared" ref="C12:H12" si="0">SUM(C14:C20)</f>
        <v>1123</v>
      </c>
      <c r="D12" s="14">
        <f t="shared" si="0"/>
        <v>1168</v>
      </c>
      <c r="E12" s="14">
        <f t="shared" si="0"/>
        <v>1122</v>
      </c>
      <c r="F12" s="14">
        <f t="shared" si="0"/>
        <v>962</v>
      </c>
      <c r="G12" s="14">
        <f t="shared" si="0"/>
        <v>939</v>
      </c>
      <c r="H12" s="14">
        <f t="shared" si="0"/>
        <v>990</v>
      </c>
      <c r="I12" s="14">
        <f>SUM(I14:I20)</f>
        <v>879</v>
      </c>
      <c r="J12" s="14">
        <f>SUM(J14:J20)</f>
        <v>970</v>
      </c>
      <c r="K12" s="14">
        <f>SUM(K14:K20)</f>
        <v>927</v>
      </c>
      <c r="L12" s="14">
        <f>SUM(L14:L20)</f>
        <v>804</v>
      </c>
      <c r="M12" s="14">
        <f>SUM(M14:M20)</f>
        <v>1156</v>
      </c>
      <c r="N12" s="14">
        <f t="shared" ref="N12:U12" si="1">SUM(N14:N20)</f>
        <v>1156</v>
      </c>
      <c r="O12" s="14">
        <f t="shared" si="1"/>
        <v>1156</v>
      </c>
      <c r="P12" s="14">
        <f t="shared" si="1"/>
        <v>1156</v>
      </c>
      <c r="Q12" s="14">
        <f t="shared" si="1"/>
        <v>1156</v>
      </c>
      <c r="R12" s="14">
        <f t="shared" si="1"/>
        <v>1156</v>
      </c>
      <c r="S12" s="14">
        <f t="shared" si="1"/>
        <v>1156</v>
      </c>
      <c r="T12" s="14">
        <f t="shared" si="1"/>
        <v>1156</v>
      </c>
      <c r="U12" s="14">
        <f t="shared" si="1"/>
        <v>1156</v>
      </c>
      <c r="V12" s="14">
        <f>SUM(V14:V20)</f>
        <v>722</v>
      </c>
    </row>
    <row r="14" spans="1:46" x14ac:dyDescent="0.2">
      <c r="B14" s="1" t="s">
        <v>34</v>
      </c>
      <c r="C14" s="15">
        <v>437</v>
      </c>
      <c r="D14" s="15">
        <v>424</v>
      </c>
      <c r="E14" s="15">
        <v>426</v>
      </c>
      <c r="F14" s="15">
        <v>327</v>
      </c>
      <c r="G14" s="15">
        <v>332</v>
      </c>
      <c r="H14" s="15">
        <v>313</v>
      </c>
      <c r="I14" s="15">
        <v>244</v>
      </c>
      <c r="J14" s="15">
        <v>225</v>
      </c>
      <c r="K14" s="15">
        <v>225</v>
      </c>
      <c r="L14" s="15">
        <v>236</v>
      </c>
      <c r="M14" s="15">
        <v>276</v>
      </c>
      <c r="N14" s="15">
        <v>276</v>
      </c>
      <c r="O14" s="15">
        <v>276</v>
      </c>
      <c r="P14" s="15">
        <v>276</v>
      </c>
      <c r="Q14" s="15">
        <v>276</v>
      </c>
      <c r="R14" s="15">
        <v>276</v>
      </c>
      <c r="S14" s="15">
        <v>276</v>
      </c>
      <c r="T14" s="15">
        <v>276</v>
      </c>
      <c r="U14" s="15">
        <v>276</v>
      </c>
      <c r="V14" s="15">
        <v>191</v>
      </c>
    </row>
    <row r="15" spans="1:46" x14ac:dyDescent="0.2">
      <c r="B15" s="16" t="s">
        <v>2</v>
      </c>
      <c r="C15" s="15">
        <v>112</v>
      </c>
      <c r="D15" s="15">
        <v>103</v>
      </c>
      <c r="E15" s="15">
        <v>109</v>
      </c>
      <c r="F15" s="15">
        <v>73</v>
      </c>
      <c r="G15" s="15">
        <v>52</v>
      </c>
      <c r="H15" s="15">
        <v>38</v>
      </c>
      <c r="I15" s="15">
        <v>31</v>
      </c>
      <c r="J15" s="15">
        <v>56</v>
      </c>
      <c r="K15" s="15">
        <v>42</v>
      </c>
      <c r="L15" s="15">
        <v>49</v>
      </c>
      <c r="M15" s="15">
        <v>83</v>
      </c>
      <c r="N15" s="15">
        <v>83</v>
      </c>
      <c r="O15" s="15">
        <v>83</v>
      </c>
      <c r="P15" s="15">
        <v>83</v>
      </c>
      <c r="Q15" s="15">
        <v>83</v>
      </c>
      <c r="R15" s="15">
        <v>83</v>
      </c>
      <c r="S15" s="15">
        <v>83</v>
      </c>
      <c r="T15" s="15">
        <v>83</v>
      </c>
      <c r="U15" s="15">
        <v>83</v>
      </c>
      <c r="V15" s="15">
        <v>54</v>
      </c>
    </row>
    <row r="16" spans="1:46" x14ac:dyDescent="0.2">
      <c r="B16" s="1" t="s">
        <v>3</v>
      </c>
      <c r="C16" s="15">
        <v>70</v>
      </c>
      <c r="D16" s="15">
        <v>54</v>
      </c>
      <c r="E16" s="15">
        <v>46</v>
      </c>
      <c r="F16" s="15">
        <v>43</v>
      </c>
      <c r="G16" s="15">
        <v>36</v>
      </c>
      <c r="H16" s="15">
        <v>46</v>
      </c>
      <c r="I16" s="15">
        <v>51</v>
      </c>
      <c r="J16" s="15">
        <v>24</v>
      </c>
      <c r="K16" s="15">
        <v>31</v>
      </c>
      <c r="L16" s="15">
        <v>79</v>
      </c>
      <c r="M16" s="15">
        <v>34</v>
      </c>
      <c r="N16" s="15">
        <v>34</v>
      </c>
      <c r="O16" s="15">
        <v>34</v>
      </c>
      <c r="P16" s="15">
        <v>34</v>
      </c>
      <c r="Q16" s="15">
        <v>34</v>
      </c>
      <c r="R16" s="15">
        <v>34</v>
      </c>
      <c r="S16" s="15">
        <v>34</v>
      </c>
      <c r="T16" s="15">
        <v>34</v>
      </c>
      <c r="U16" s="15">
        <v>34</v>
      </c>
      <c r="V16" s="15">
        <v>17</v>
      </c>
    </row>
    <row r="17" spans="1:22" x14ac:dyDescent="0.2">
      <c r="B17" s="1" t="s">
        <v>4</v>
      </c>
      <c r="C17" s="15"/>
      <c r="D17" s="15"/>
      <c r="E17" s="15">
        <v>12</v>
      </c>
      <c r="F17" s="15">
        <v>5</v>
      </c>
      <c r="G17" s="15">
        <v>9</v>
      </c>
      <c r="H17" s="15">
        <v>16</v>
      </c>
      <c r="I17" s="15">
        <v>13</v>
      </c>
      <c r="J17" s="15">
        <v>6</v>
      </c>
      <c r="K17" s="15">
        <v>14</v>
      </c>
      <c r="L17" s="15">
        <v>6</v>
      </c>
      <c r="M17" s="15">
        <v>19</v>
      </c>
      <c r="N17" s="15">
        <v>19</v>
      </c>
      <c r="O17" s="15">
        <v>19</v>
      </c>
      <c r="P17" s="15">
        <v>19</v>
      </c>
      <c r="Q17" s="15">
        <v>19</v>
      </c>
      <c r="R17" s="15">
        <v>19</v>
      </c>
      <c r="S17" s="15">
        <v>19</v>
      </c>
      <c r="T17" s="15">
        <v>19</v>
      </c>
      <c r="U17" s="15">
        <v>19</v>
      </c>
      <c r="V17" s="15">
        <v>5</v>
      </c>
    </row>
    <row r="18" spans="1:22" x14ac:dyDescent="0.2">
      <c r="B18" s="17" t="s">
        <v>5</v>
      </c>
      <c r="C18" s="15">
        <v>1</v>
      </c>
      <c r="D18" s="18">
        <v>0</v>
      </c>
      <c r="E18" s="18">
        <v>0</v>
      </c>
      <c r="F18" s="18">
        <v>0</v>
      </c>
      <c r="G18" s="15">
        <v>0</v>
      </c>
      <c r="H18" s="15">
        <v>0</v>
      </c>
      <c r="I18" s="15">
        <v>3</v>
      </c>
      <c r="J18" s="15">
        <v>2</v>
      </c>
      <c r="K18" s="15">
        <v>1</v>
      </c>
      <c r="L18" s="15">
        <v>13</v>
      </c>
      <c r="M18" s="15">
        <v>3</v>
      </c>
      <c r="N18" s="15">
        <v>3</v>
      </c>
      <c r="O18" s="15">
        <v>3</v>
      </c>
      <c r="P18" s="15">
        <v>3</v>
      </c>
      <c r="Q18" s="15">
        <v>3</v>
      </c>
      <c r="R18" s="15">
        <v>3</v>
      </c>
      <c r="S18" s="15">
        <v>3</v>
      </c>
      <c r="T18" s="15">
        <v>3</v>
      </c>
      <c r="U18" s="15">
        <v>3</v>
      </c>
      <c r="V18" s="15">
        <v>0</v>
      </c>
    </row>
    <row r="19" spans="1:22" x14ac:dyDescent="0.2">
      <c r="B19" s="7" t="s">
        <v>8</v>
      </c>
      <c r="C19" s="19">
        <v>10</v>
      </c>
      <c r="D19" s="19">
        <v>7</v>
      </c>
      <c r="E19" s="19">
        <v>3</v>
      </c>
      <c r="F19" s="19">
        <v>9</v>
      </c>
      <c r="G19" s="19">
        <v>14</v>
      </c>
      <c r="H19" s="19">
        <v>7</v>
      </c>
      <c r="I19" s="19">
        <v>7</v>
      </c>
      <c r="J19" s="19">
        <v>14</v>
      </c>
      <c r="K19" s="19">
        <v>15</v>
      </c>
      <c r="L19" s="19">
        <v>16</v>
      </c>
      <c r="M19" s="19">
        <v>14</v>
      </c>
      <c r="N19" s="19">
        <v>14</v>
      </c>
      <c r="O19" s="19">
        <v>14</v>
      </c>
      <c r="P19" s="19">
        <v>14</v>
      </c>
      <c r="Q19" s="19">
        <v>14</v>
      </c>
      <c r="R19" s="19">
        <v>14</v>
      </c>
      <c r="S19" s="19">
        <v>14</v>
      </c>
      <c r="T19" s="19">
        <v>14</v>
      </c>
      <c r="U19" s="19">
        <v>14</v>
      </c>
      <c r="V19" s="19">
        <v>4</v>
      </c>
    </row>
    <row r="20" spans="1:22" x14ac:dyDescent="0.2">
      <c r="B20" s="20" t="s">
        <v>9</v>
      </c>
      <c r="C20" s="21">
        <v>493</v>
      </c>
      <c r="D20" s="21">
        <v>580</v>
      </c>
      <c r="E20" s="21">
        <v>526</v>
      </c>
      <c r="F20" s="21">
        <v>505</v>
      </c>
      <c r="G20" s="21">
        <v>496</v>
      </c>
      <c r="H20" s="21">
        <v>570</v>
      </c>
      <c r="I20" s="21">
        <v>530</v>
      </c>
      <c r="J20" s="21">
        <v>643</v>
      </c>
      <c r="K20" s="21">
        <v>599</v>
      </c>
      <c r="L20" s="21">
        <v>405</v>
      </c>
      <c r="M20" s="21">
        <v>727</v>
      </c>
      <c r="N20" s="21">
        <v>727</v>
      </c>
      <c r="O20" s="21">
        <v>727</v>
      </c>
      <c r="P20" s="21">
        <v>727</v>
      </c>
      <c r="Q20" s="21">
        <v>727</v>
      </c>
      <c r="R20" s="21">
        <v>727</v>
      </c>
      <c r="S20" s="21">
        <v>727</v>
      </c>
      <c r="T20" s="21">
        <v>727</v>
      </c>
      <c r="U20" s="21">
        <v>727</v>
      </c>
      <c r="V20" s="21">
        <v>451</v>
      </c>
    </row>
    <row r="21" spans="1:22" s="7" customFormat="1" x14ac:dyDescent="0.2">
      <c r="A21" s="1"/>
      <c r="B21" s="2"/>
      <c r="C21" s="22"/>
      <c r="D21" s="22"/>
      <c r="E21" s="22"/>
      <c r="F21" s="22"/>
      <c r="G21" s="1"/>
      <c r="H21" s="1"/>
    </row>
    <row r="22" spans="1:22" ht="26.25" customHeight="1" x14ac:dyDescent="0.2">
      <c r="A22" s="72" t="s">
        <v>15</v>
      </c>
      <c r="C22" s="74"/>
      <c r="D22" s="74"/>
      <c r="E22" s="74"/>
      <c r="F22" s="74"/>
      <c r="G22" s="74"/>
      <c r="H22" s="74"/>
      <c r="J22" s="85"/>
      <c r="K22" s="84" t="s">
        <v>48</v>
      </c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</row>
    <row r="23" spans="1:22" x14ac:dyDescent="0.2">
      <c r="B23" s="72"/>
      <c r="C23" s="74"/>
      <c r="D23" s="74"/>
      <c r="E23" s="74"/>
      <c r="F23" s="74"/>
      <c r="G23" s="74"/>
      <c r="H23" s="74"/>
      <c r="N23" s="1">
        <v>2006</v>
      </c>
      <c r="O23" s="15">
        <v>1248</v>
      </c>
      <c r="P23" s="15">
        <v>620962</v>
      </c>
    </row>
    <row r="24" spans="1:22" x14ac:dyDescent="0.2">
      <c r="I24" s="23"/>
      <c r="J24" s="23"/>
      <c r="K24" s="23"/>
      <c r="L24" s="23"/>
      <c r="M24" s="23"/>
      <c r="N24" s="23" t="s">
        <v>10</v>
      </c>
      <c r="O24" s="23" t="s">
        <v>10</v>
      </c>
      <c r="P24" s="23" t="s">
        <v>10</v>
      </c>
      <c r="Q24" s="23" t="s">
        <v>10</v>
      </c>
      <c r="R24" s="23" t="s">
        <v>10</v>
      </c>
      <c r="S24" s="23" t="s">
        <v>10</v>
      </c>
      <c r="T24" s="23" t="s">
        <v>10</v>
      </c>
      <c r="U24" s="23" t="s">
        <v>10</v>
      </c>
      <c r="V24" s="23" t="s">
        <v>10</v>
      </c>
    </row>
    <row r="25" spans="1:22" x14ac:dyDescent="0.2">
      <c r="A25" s="2"/>
      <c r="B25" s="8" t="s">
        <v>0</v>
      </c>
      <c r="C25" s="9">
        <f>C10</f>
        <v>2007</v>
      </c>
      <c r="D25" s="9">
        <f>D10</f>
        <v>2008</v>
      </c>
      <c r="E25" s="9">
        <f>E10</f>
        <v>2009</v>
      </c>
      <c r="F25" s="9">
        <f>F10</f>
        <v>2010</v>
      </c>
      <c r="G25" s="10">
        <v>2011</v>
      </c>
      <c r="H25" s="10">
        <v>2012</v>
      </c>
      <c r="I25" s="10">
        <v>2013</v>
      </c>
      <c r="J25" s="10">
        <v>2014</v>
      </c>
      <c r="K25" s="10">
        <v>2015</v>
      </c>
      <c r="L25" s="10">
        <v>2016</v>
      </c>
      <c r="M25" s="10">
        <v>2017</v>
      </c>
      <c r="N25" s="10">
        <v>2018</v>
      </c>
      <c r="O25" s="10">
        <v>2019</v>
      </c>
      <c r="P25" s="10">
        <v>2020</v>
      </c>
      <c r="Q25" s="10">
        <v>2021</v>
      </c>
      <c r="R25" s="10">
        <v>2022</v>
      </c>
      <c r="S25" s="10">
        <v>2023</v>
      </c>
      <c r="T25" s="10">
        <v>2024</v>
      </c>
      <c r="U25" s="10">
        <v>2025</v>
      </c>
      <c r="V25" s="10">
        <v>2018</v>
      </c>
    </row>
    <row r="26" spans="1:22" x14ac:dyDescent="0.2">
      <c r="A26" s="2"/>
      <c r="B26" s="11"/>
      <c r="C26" s="12"/>
      <c r="D26" s="12"/>
      <c r="E26" s="12"/>
      <c r="F26" s="12"/>
    </row>
    <row r="27" spans="1:22" x14ac:dyDescent="0.2">
      <c r="A27" s="2"/>
      <c r="B27" s="2" t="s">
        <v>1</v>
      </c>
      <c r="C27" s="22">
        <f t="shared" ref="C27:H27" si="2">SUM(C29:C35)</f>
        <v>468900</v>
      </c>
      <c r="D27" s="22">
        <f t="shared" si="2"/>
        <v>480854.83715000004</v>
      </c>
      <c r="E27" s="22">
        <f t="shared" si="2"/>
        <v>421425.29077000002</v>
      </c>
      <c r="F27" s="22">
        <f t="shared" si="2"/>
        <v>311655.92437999998</v>
      </c>
      <c r="G27" s="22">
        <f t="shared" si="2"/>
        <v>241754.34123000002</v>
      </c>
      <c r="H27" s="22">
        <f t="shared" si="2"/>
        <v>152150</v>
      </c>
      <c r="I27" s="22">
        <f>SUM(I29:I35)</f>
        <v>453827.57527999999</v>
      </c>
      <c r="J27" s="22">
        <f>SUM(J29:J35)</f>
        <v>406181.24825000006</v>
      </c>
      <c r="K27" s="22">
        <f>SUM(K29:K35)</f>
        <v>452705.25</v>
      </c>
      <c r="L27" s="22">
        <f>SUM(L29:L35)</f>
        <v>406719</v>
      </c>
      <c r="M27" s="22">
        <f>SUM(M29:M35)</f>
        <v>798702</v>
      </c>
      <c r="N27" s="22">
        <f t="shared" ref="N27:U27" si="3">SUM(N29:N35)</f>
        <v>798702</v>
      </c>
      <c r="O27" s="22">
        <f t="shared" si="3"/>
        <v>798702</v>
      </c>
      <c r="P27" s="22">
        <f t="shared" si="3"/>
        <v>798702</v>
      </c>
      <c r="Q27" s="22">
        <f t="shared" si="3"/>
        <v>798702</v>
      </c>
      <c r="R27" s="22">
        <f t="shared" si="3"/>
        <v>798702</v>
      </c>
      <c r="S27" s="22">
        <f t="shared" si="3"/>
        <v>798702</v>
      </c>
      <c r="T27" s="22">
        <f t="shared" si="3"/>
        <v>798702</v>
      </c>
      <c r="U27" s="22">
        <f t="shared" si="3"/>
        <v>798702</v>
      </c>
      <c r="V27" s="22">
        <f>SUM(V29:V35)</f>
        <v>752316</v>
      </c>
    </row>
    <row r="28" spans="1:22" ht="12.75" customHeight="1" x14ac:dyDescent="0.2">
      <c r="C28" s="15"/>
      <c r="D28" s="15"/>
      <c r="E28" s="15"/>
      <c r="F28" s="15"/>
      <c r="G28" s="15"/>
      <c r="H28" s="15"/>
      <c r="I28" s="15"/>
    </row>
    <row r="29" spans="1:22" ht="13.5" customHeight="1" x14ac:dyDescent="0.2">
      <c r="B29" s="1" t="s">
        <v>34</v>
      </c>
      <c r="C29" s="15">
        <v>131300</v>
      </c>
      <c r="D29" s="15">
        <v>110332.85427</v>
      </c>
      <c r="E29" s="15">
        <f>121986466.53/1000</f>
        <v>121986.46653000001</v>
      </c>
      <c r="F29" s="15">
        <v>93902.210429999992</v>
      </c>
      <c r="G29" s="15">
        <v>116482.7004</v>
      </c>
      <c r="H29" s="15">
        <v>81874</v>
      </c>
      <c r="I29" s="15">
        <v>94954.696500000005</v>
      </c>
      <c r="J29" s="15">
        <f>122.0527588*1000</f>
        <v>122052.75880000001</v>
      </c>
      <c r="K29" s="15">
        <f>112.1873*1000</f>
        <v>112187.29999999999</v>
      </c>
      <c r="L29" s="15">
        <v>106373</v>
      </c>
      <c r="M29" s="15">
        <v>118354</v>
      </c>
      <c r="N29" s="15">
        <v>118354</v>
      </c>
      <c r="O29" s="15">
        <v>118354</v>
      </c>
      <c r="P29" s="15">
        <v>118354</v>
      </c>
      <c r="Q29" s="15">
        <v>118354</v>
      </c>
      <c r="R29" s="15">
        <v>118354</v>
      </c>
      <c r="S29" s="15">
        <v>118354</v>
      </c>
      <c r="T29" s="15">
        <v>118354</v>
      </c>
      <c r="U29" s="15">
        <v>118354</v>
      </c>
      <c r="V29" s="15">
        <v>104623</v>
      </c>
    </row>
    <row r="30" spans="1:22" x14ac:dyDescent="0.2">
      <c r="B30" s="1" t="s">
        <v>11</v>
      </c>
      <c r="C30" s="15">
        <v>88900</v>
      </c>
      <c r="D30" s="15">
        <v>141495.97148000001</v>
      </c>
      <c r="E30" s="15">
        <f>170262461.49/1000</f>
        <v>170262.46149000002</v>
      </c>
      <c r="F30" s="15">
        <v>35864.211699999993</v>
      </c>
      <c r="G30" s="15">
        <v>27534.59548</v>
      </c>
      <c r="H30" s="15">
        <v>17296</v>
      </c>
      <c r="I30" s="15">
        <v>47700.928</v>
      </c>
      <c r="J30" s="15">
        <f>132.5098568*1000</f>
        <v>132509.85680000001</v>
      </c>
      <c r="K30" s="15">
        <f>152.674*1000</f>
        <v>152674</v>
      </c>
      <c r="L30" s="15">
        <v>71476</v>
      </c>
      <c r="M30" s="15">
        <v>220283</v>
      </c>
      <c r="N30" s="15">
        <v>220283</v>
      </c>
      <c r="O30" s="15">
        <v>220283</v>
      </c>
      <c r="P30" s="15">
        <v>220283</v>
      </c>
      <c r="Q30" s="15">
        <v>220283</v>
      </c>
      <c r="R30" s="15">
        <v>220283</v>
      </c>
      <c r="S30" s="15">
        <v>220283</v>
      </c>
      <c r="T30" s="15">
        <v>220283</v>
      </c>
      <c r="U30" s="15">
        <v>220283</v>
      </c>
      <c r="V30" s="15">
        <v>150473</v>
      </c>
    </row>
    <row r="31" spans="1:22" x14ac:dyDescent="0.2">
      <c r="B31" s="1" t="s">
        <v>3</v>
      </c>
      <c r="C31" s="15">
        <v>71700</v>
      </c>
      <c r="D31" s="15">
        <v>125435.19600000001</v>
      </c>
      <c r="E31" s="15">
        <f>29036772.86/1000</f>
        <v>29036.772860000001</v>
      </c>
      <c r="F31" s="15">
        <v>92482.837399999989</v>
      </c>
      <c r="G31" s="15">
        <v>25755.422999999999</v>
      </c>
      <c r="H31" s="15">
        <v>11665</v>
      </c>
      <c r="I31" s="15">
        <v>118645.60950000001</v>
      </c>
      <c r="J31" s="15">
        <f>8.5997774*1000</f>
        <v>8599.7774000000009</v>
      </c>
      <c r="K31" s="15">
        <f>37.6417*1000</f>
        <v>37641.699999999997</v>
      </c>
      <c r="L31" s="15">
        <v>152789</v>
      </c>
      <c r="M31" s="15">
        <v>50087</v>
      </c>
      <c r="N31" s="15">
        <v>50087</v>
      </c>
      <c r="O31" s="15">
        <v>50087</v>
      </c>
      <c r="P31" s="15">
        <v>50087</v>
      </c>
      <c r="Q31" s="15">
        <v>50087</v>
      </c>
      <c r="R31" s="15">
        <v>50087</v>
      </c>
      <c r="S31" s="15">
        <v>50087</v>
      </c>
      <c r="T31" s="15">
        <v>50087</v>
      </c>
      <c r="U31" s="15">
        <v>50087</v>
      </c>
      <c r="V31" s="15">
        <v>37440</v>
      </c>
    </row>
    <row r="32" spans="1:22" x14ac:dyDescent="0.2">
      <c r="B32" s="1" t="s">
        <v>4</v>
      </c>
      <c r="C32" s="15">
        <v>8400</v>
      </c>
      <c r="D32" s="15">
        <v>11123.412</v>
      </c>
      <c r="E32" s="15">
        <f>2555800/1000</f>
        <v>2555.8000000000002</v>
      </c>
      <c r="F32" s="15">
        <v>970</v>
      </c>
      <c r="G32" s="15">
        <v>16553</v>
      </c>
      <c r="H32" s="15">
        <v>8060</v>
      </c>
      <c r="I32" s="15">
        <v>5174.2719999999999</v>
      </c>
      <c r="J32" s="15">
        <f>17.005*1000</f>
        <v>17005</v>
      </c>
      <c r="K32" s="15">
        <f>48.54648*1000</f>
        <v>48546.48</v>
      </c>
      <c r="L32" s="15">
        <v>20174</v>
      </c>
      <c r="M32" s="15">
        <v>74175</v>
      </c>
      <c r="N32" s="15">
        <v>74175</v>
      </c>
      <c r="O32" s="15">
        <v>74175</v>
      </c>
      <c r="P32" s="15">
        <v>74175</v>
      </c>
      <c r="Q32" s="15">
        <v>74175</v>
      </c>
      <c r="R32" s="15">
        <v>74175</v>
      </c>
      <c r="S32" s="15">
        <v>74175</v>
      </c>
      <c r="T32" s="15">
        <v>74175</v>
      </c>
      <c r="U32" s="15">
        <v>74175</v>
      </c>
      <c r="V32" s="15">
        <v>1557</v>
      </c>
    </row>
    <row r="33" spans="1:22" x14ac:dyDescent="0.2">
      <c r="B33" s="1" t="s">
        <v>5</v>
      </c>
      <c r="C33" s="15">
        <v>55000</v>
      </c>
      <c r="D33" s="18">
        <v>0</v>
      </c>
      <c r="E33" s="18">
        <v>0</v>
      </c>
      <c r="F33" s="18">
        <v>0</v>
      </c>
      <c r="G33" s="24">
        <v>0</v>
      </c>
      <c r="H33" s="24">
        <v>0</v>
      </c>
      <c r="I33" s="15">
        <v>143035</v>
      </c>
      <c r="J33" s="15">
        <f>4.64*1000</f>
        <v>4640</v>
      </c>
      <c r="K33" s="15">
        <f>0.06*1000</f>
        <v>60</v>
      </c>
      <c r="L33" s="15">
        <v>1852</v>
      </c>
      <c r="M33" s="15">
        <v>246776</v>
      </c>
      <c r="N33" s="15">
        <v>246776</v>
      </c>
      <c r="O33" s="15">
        <v>246776</v>
      </c>
      <c r="P33" s="15">
        <v>246776</v>
      </c>
      <c r="Q33" s="15">
        <v>246776</v>
      </c>
      <c r="R33" s="15">
        <v>246776</v>
      </c>
      <c r="S33" s="15">
        <v>246776</v>
      </c>
      <c r="T33" s="15">
        <v>246776</v>
      </c>
      <c r="U33" s="15">
        <v>246776</v>
      </c>
      <c r="V33" s="15">
        <v>0</v>
      </c>
    </row>
    <row r="34" spans="1:22" x14ac:dyDescent="0.2">
      <c r="B34" s="1" t="s">
        <v>8</v>
      </c>
      <c r="C34" s="15">
        <v>54500</v>
      </c>
      <c r="D34" s="15">
        <v>18470</v>
      </c>
      <c r="E34" s="15">
        <f>95000/1000</f>
        <v>95</v>
      </c>
      <c r="F34" s="15">
        <v>3641.1</v>
      </c>
      <c r="G34" s="15">
        <v>15135.5</v>
      </c>
      <c r="H34" s="15">
        <v>5193</v>
      </c>
      <c r="I34" s="15">
        <v>4418.5</v>
      </c>
      <c r="J34" s="15">
        <f>3.342*1000</f>
        <v>3342</v>
      </c>
      <c r="K34" s="15">
        <f>50.06493*1000</f>
        <v>50064.93</v>
      </c>
      <c r="L34" s="15">
        <v>14227</v>
      </c>
      <c r="M34" s="15">
        <v>4536</v>
      </c>
      <c r="N34" s="15">
        <v>4536</v>
      </c>
      <c r="O34" s="15">
        <v>4536</v>
      </c>
      <c r="P34" s="15">
        <v>4536</v>
      </c>
      <c r="Q34" s="15">
        <v>4536</v>
      </c>
      <c r="R34" s="15">
        <v>4536</v>
      </c>
      <c r="S34" s="15">
        <v>4536</v>
      </c>
      <c r="T34" s="15">
        <v>4536</v>
      </c>
      <c r="U34" s="15">
        <v>4536</v>
      </c>
      <c r="V34" s="15">
        <v>1305</v>
      </c>
    </row>
    <row r="35" spans="1:22" x14ac:dyDescent="0.2">
      <c r="B35" s="20" t="s">
        <v>9</v>
      </c>
      <c r="C35" s="21">
        <v>59100</v>
      </c>
      <c r="D35" s="21">
        <v>73997.40340000001</v>
      </c>
      <c r="E35" s="21">
        <f>97488789.89/1000</f>
        <v>97488.78989</v>
      </c>
      <c r="F35" s="21">
        <v>84795.56485000001</v>
      </c>
      <c r="G35" s="21">
        <v>40293.122350000012</v>
      </c>
      <c r="H35" s="21">
        <v>28062</v>
      </c>
      <c r="I35" s="21">
        <v>39898.569280000003</v>
      </c>
      <c r="J35" s="21">
        <f>118.03185525*1000</f>
        <v>118031.85525000001</v>
      </c>
      <c r="K35" s="21">
        <f>51.53084*1000</f>
        <v>51530.84</v>
      </c>
      <c r="L35" s="21">
        <v>39828</v>
      </c>
      <c r="M35" s="21">
        <v>84491</v>
      </c>
      <c r="N35" s="21">
        <v>84491</v>
      </c>
      <c r="O35" s="21">
        <v>84491</v>
      </c>
      <c r="P35" s="21">
        <v>84491</v>
      </c>
      <c r="Q35" s="21">
        <v>84491</v>
      </c>
      <c r="R35" s="21">
        <v>84491</v>
      </c>
      <c r="S35" s="21">
        <v>84491</v>
      </c>
      <c r="T35" s="21">
        <v>84491</v>
      </c>
      <c r="U35" s="21">
        <v>84491</v>
      </c>
      <c r="V35" s="21">
        <v>456918</v>
      </c>
    </row>
    <row r="36" spans="1:22" x14ac:dyDescent="0.2">
      <c r="F36" s="25"/>
      <c r="G36" s="25"/>
    </row>
    <row r="37" spans="1:22" x14ac:dyDescent="0.2">
      <c r="A37" s="26"/>
      <c r="B37" s="16" t="s">
        <v>13</v>
      </c>
      <c r="G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9" spans="1:22" x14ac:dyDescent="0.2">
      <c r="B39" s="16"/>
      <c r="O39" s="1" t="s">
        <v>12</v>
      </c>
    </row>
    <row r="43" spans="1:22" x14ac:dyDescent="0.2">
      <c r="H43" s="27"/>
    </row>
    <row r="44" spans="1:22" x14ac:dyDescent="0.2">
      <c r="N44" s="27"/>
      <c r="O44" s="27"/>
      <c r="P44" s="27"/>
    </row>
    <row r="45" spans="1:22" x14ac:dyDescent="0.2">
      <c r="H45" s="15"/>
      <c r="I45" s="27"/>
      <c r="J45" s="27"/>
      <c r="K45" s="27"/>
      <c r="L45" s="27"/>
      <c r="M45" s="27"/>
      <c r="Q45" s="27"/>
      <c r="R45" s="27"/>
      <c r="S45" s="27"/>
      <c r="T45" s="7"/>
    </row>
    <row r="46" spans="1:22" x14ac:dyDescent="0.2">
      <c r="H46" s="15"/>
      <c r="N46" s="15"/>
      <c r="O46" s="15"/>
      <c r="P46" s="15"/>
    </row>
    <row r="47" spans="1:22" x14ac:dyDescent="0.2"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2" x14ac:dyDescent="0.2"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"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"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2"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2">
      <c r="B54" s="28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9" ht="15" x14ac:dyDescent="0.25">
      <c r="A55" s="75">
        <v>66</v>
      </c>
      <c r="B55" s="75"/>
      <c r="C55" s="75"/>
      <c r="D55" s="75"/>
      <c r="E55" s="75"/>
      <c r="F55" s="75"/>
      <c r="G55" s="75"/>
      <c r="H55" s="75"/>
      <c r="I55" s="30"/>
      <c r="N55" s="15"/>
      <c r="O55" s="15"/>
      <c r="P55" s="15"/>
      <c r="Q55" s="15"/>
      <c r="R55" s="31"/>
    </row>
    <row r="56" spans="1:19" ht="9" customHeight="1" x14ac:dyDescent="0.2">
      <c r="A56" s="32"/>
      <c r="B56" s="32"/>
      <c r="H56" s="25"/>
      <c r="I56" s="30"/>
      <c r="N56" s="15"/>
      <c r="O56" s="15"/>
      <c r="P56" s="15"/>
      <c r="Q56" s="15"/>
      <c r="R56" s="31"/>
    </row>
    <row r="57" spans="1:19" x14ac:dyDescent="0.2">
      <c r="H57" s="25"/>
      <c r="I57" s="30"/>
      <c r="N57" s="15"/>
      <c r="O57" s="15"/>
      <c r="P57" s="15"/>
      <c r="Q57" s="15"/>
      <c r="R57" s="31"/>
    </row>
    <row r="58" spans="1:19" x14ac:dyDescent="0.2">
      <c r="H58" s="25"/>
      <c r="I58" s="30"/>
      <c r="N58" s="15"/>
      <c r="O58" s="15"/>
      <c r="P58" s="15"/>
      <c r="Q58" s="15"/>
      <c r="R58" s="31"/>
    </row>
    <row r="59" spans="1:19" x14ac:dyDescent="0.2">
      <c r="H59" s="25"/>
      <c r="I59" s="30"/>
      <c r="N59" s="15"/>
      <c r="O59" s="15"/>
      <c r="P59" s="15"/>
      <c r="Q59" s="15"/>
      <c r="R59" s="31"/>
    </row>
    <row r="60" spans="1:19" x14ac:dyDescent="0.2">
      <c r="H60" s="25"/>
      <c r="I60" s="30"/>
      <c r="N60" s="33"/>
      <c r="O60" s="15"/>
      <c r="P60" s="15"/>
      <c r="Q60" s="15"/>
      <c r="R60" s="31"/>
    </row>
    <row r="61" spans="1:19" x14ac:dyDescent="0.2">
      <c r="Q61" s="15"/>
    </row>
  </sheetData>
  <mergeCells count="3">
    <mergeCell ref="A55:H55"/>
    <mergeCell ref="K7:V7"/>
    <mergeCell ref="K22:V22"/>
  </mergeCells>
  <pageMargins left="0.7" right="0.7" top="0.75" bottom="0.75" header="0.3" footer="0.3"/>
  <pageSetup scale="94" orientation="portrait" r:id="rId1"/>
  <colBreaks count="1" manualBreakCount="1">
    <brk id="22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Z62"/>
  <sheetViews>
    <sheetView zoomScaleNormal="100" zoomScaleSheetLayoutView="100" workbookViewId="0">
      <selection activeCell="J5" sqref="J5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5" width="12.28515625" style="1" hidden="1" customWidth="1"/>
    <col min="6" max="7" width="8.5703125" style="1" hidden="1" customWidth="1"/>
    <col min="8" max="8" width="18" style="1" hidden="1" customWidth="1"/>
    <col min="9" max="9" width="8.5703125" style="1" hidden="1" customWidth="1"/>
    <col min="10" max="11" width="8.5703125" style="1" customWidth="1"/>
    <col min="12" max="12" width="10.140625" style="1" customWidth="1"/>
    <col min="13" max="13" width="12.28515625" style="1"/>
    <col min="14" max="17" width="0" style="1" hidden="1" customWidth="1"/>
    <col min="18" max="18" width="12.28515625" style="1"/>
    <col min="19" max="27" width="0" style="1" hidden="1" customWidth="1"/>
    <col min="2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3" spans="1:18" x14ac:dyDescent="0.2">
      <c r="L3" s="2" t="s">
        <v>47</v>
      </c>
    </row>
    <row r="5" spans="1:18" x14ac:dyDescent="0.2">
      <c r="C5" s="3"/>
      <c r="D5" s="3"/>
      <c r="E5" s="3"/>
      <c r="F5" s="3"/>
      <c r="G5" s="3"/>
      <c r="H5" s="4"/>
      <c r="I5" s="4"/>
      <c r="J5" s="4"/>
      <c r="K5" s="4"/>
    </row>
    <row r="8" spans="1:18" ht="27" customHeight="1" x14ac:dyDescent="0.2">
      <c r="A8" s="72" t="s">
        <v>17</v>
      </c>
      <c r="D8" s="73"/>
      <c r="E8" s="73"/>
      <c r="F8" s="73"/>
      <c r="G8" s="73"/>
      <c r="H8" s="73"/>
      <c r="I8" s="73"/>
      <c r="J8" s="86" t="s">
        <v>50</v>
      </c>
      <c r="K8" s="86"/>
      <c r="L8" s="86"/>
      <c r="M8" s="86"/>
      <c r="N8" s="86"/>
      <c r="O8" s="86"/>
      <c r="P8" s="86"/>
      <c r="Q8" s="86"/>
      <c r="R8" s="86"/>
    </row>
    <row r="9" spans="1:18" ht="12.75" customHeight="1" x14ac:dyDescent="0.2">
      <c r="A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8" ht="12.75" customHeight="1" x14ac:dyDescent="0.2">
      <c r="A10" s="2"/>
      <c r="B10" s="5"/>
      <c r="C10" s="6"/>
      <c r="D10" s="6"/>
      <c r="E10" s="6"/>
      <c r="F10" s="6"/>
      <c r="G10" s="6"/>
      <c r="H10" s="6"/>
      <c r="I10" s="34"/>
      <c r="J10" s="34"/>
      <c r="K10" s="34"/>
    </row>
    <row r="11" spans="1:18" x14ac:dyDescent="0.2">
      <c r="A11" s="7"/>
      <c r="B11" s="8" t="s">
        <v>0</v>
      </c>
      <c r="C11" s="9">
        <v>2007</v>
      </c>
      <c r="D11" s="9">
        <v>2008</v>
      </c>
      <c r="E11" s="9">
        <v>2009</v>
      </c>
      <c r="F11" s="9">
        <v>2010</v>
      </c>
      <c r="G11" s="10">
        <v>2011</v>
      </c>
      <c r="H11" s="10">
        <v>2012</v>
      </c>
      <c r="I11" s="10">
        <v>2013</v>
      </c>
      <c r="J11" s="10">
        <v>2014</v>
      </c>
      <c r="K11" s="10">
        <v>2015</v>
      </c>
      <c r="L11" s="10">
        <v>2016</v>
      </c>
      <c r="M11" s="10">
        <v>2017</v>
      </c>
      <c r="N11" s="10">
        <v>2018</v>
      </c>
      <c r="O11" s="10">
        <v>2019</v>
      </c>
      <c r="P11" s="10">
        <v>2020</v>
      </c>
      <c r="Q11" s="10">
        <v>2021</v>
      </c>
      <c r="R11" s="10">
        <v>2018</v>
      </c>
    </row>
    <row r="12" spans="1:18" x14ac:dyDescent="0.2">
      <c r="A12" s="7"/>
      <c r="B12" s="11"/>
      <c r="C12" s="12"/>
      <c r="D12" s="12"/>
      <c r="E12" s="12"/>
      <c r="F12" s="12"/>
    </row>
    <row r="13" spans="1:18" x14ac:dyDescent="0.2">
      <c r="A13" s="7"/>
      <c r="B13" s="13" t="s">
        <v>1</v>
      </c>
      <c r="C13" s="35">
        <v>104</v>
      </c>
      <c r="D13" s="35">
        <v>109</v>
      </c>
      <c r="E13" s="35">
        <v>103</v>
      </c>
      <c r="F13" s="35">
        <v>114</v>
      </c>
      <c r="G13" s="35">
        <v>102</v>
      </c>
      <c r="H13" s="35">
        <f>SUM(H15:H21)</f>
        <v>90</v>
      </c>
      <c r="I13" s="35">
        <v>92</v>
      </c>
      <c r="J13" s="35">
        <f>SUM(J15:J21)</f>
        <v>59</v>
      </c>
      <c r="K13" s="35">
        <f>SUM(K15:K21)</f>
        <v>63</v>
      </c>
      <c r="L13" s="35">
        <f>SUM(L15:L21)</f>
        <v>62</v>
      </c>
      <c r="M13" s="35">
        <f>SUM(M15:M21)</f>
        <v>60</v>
      </c>
      <c r="N13" s="35">
        <f t="shared" ref="N13:Q13" si="0">SUM(N15:N21)</f>
        <v>60</v>
      </c>
      <c r="O13" s="35">
        <f t="shared" si="0"/>
        <v>60</v>
      </c>
      <c r="P13" s="35">
        <f t="shared" si="0"/>
        <v>60</v>
      </c>
      <c r="Q13" s="35">
        <f t="shared" si="0"/>
        <v>60</v>
      </c>
      <c r="R13" s="35">
        <f>SUM(R15:R21)</f>
        <v>41</v>
      </c>
    </row>
    <row r="14" spans="1:18" x14ac:dyDescent="0.2"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x14ac:dyDescent="0.2">
      <c r="B15" s="1" t="s">
        <v>34</v>
      </c>
      <c r="C15" s="37">
        <v>35</v>
      </c>
      <c r="D15" s="37">
        <v>40</v>
      </c>
      <c r="E15" s="37">
        <v>34</v>
      </c>
      <c r="F15" s="37">
        <v>27</v>
      </c>
      <c r="G15" s="37">
        <v>35</v>
      </c>
      <c r="H15" s="37">
        <v>21</v>
      </c>
      <c r="I15" s="37">
        <v>29</v>
      </c>
      <c r="J15" s="37">
        <v>22</v>
      </c>
      <c r="K15" s="37">
        <v>10</v>
      </c>
      <c r="L15" s="37">
        <v>12</v>
      </c>
      <c r="M15" s="37">
        <v>25</v>
      </c>
      <c r="N15" s="37">
        <v>25</v>
      </c>
      <c r="O15" s="37">
        <v>25</v>
      </c>
      <c r="P15" s="37">
        <v>25</v>
      </c>
      <c r="Q15" s="37">
        <v>25</v>
      </c>
      <c r="R15" s="37">
        <v>10</v>
      </c>
    </row>
    <row r="16" spans="1:18" x14ac:dyDescent="0.2">
      <c r="B16" s="16" t="s">
        <v>11</v>
      </c>
      <c r="C16" s="37">
        <v>6</v>
      </c>
      <c r="D16" s="37">
        <v>5</v>
      </c>
      <c r="E16" s="37">
        <v>2</v>
      </c>
      <c r="F16" s="37">
        <v>2</v>
      </c>
      <c r="G16" s="37">
        <v>0</v>
      </c>
      <c r="H16" s="37">
        <v>0</v>
      </c>
      <c r="I16" s="37">
        <v>1</v>
      </c>
      <c r="J16" s="37">
        <v>0</v>
      </c>
      <c r="K16" s="37">
        <v>0</v>
      </c>
      <c r="L16" s="37">
        <v>1</v>
      </c>
      <c r="M16" s="37">
        <v>1</v>
      </c>
      <c r="N16" s="37">
        <v>1</v>
      </c>
      <c r="O16" s="37">
        <v>1</v>
      </c>
      <c r="P16" s="37">
        <v>1</v>
      </c>
      <c r="Q16" s="37">
        <v>1</v>
      </c>
      <c r="R16" s="37">
        <v>0</v>
      </c>
    </row>
    <row r="17" spans="1:18" x14ac:dyDescent="0.2">
      <c r="B17" s="1" t="s">
        <v>3</v>
      </c>
      <c r="C17" s="37">
        <v>5</v>
      </c>
      <c r="D17" s="37">
        <v>5</v>
      </c>
      <c r="E17" s="37">
        <v>2</v>
      </c>
      <c r="F17" s="37">
        <v>5</v>
      </c>
      <c r="G17" s="37">
        <v>2</v>
      </c>
      <c r="H17" s="37">
        <v>5</v>
      </c>
      <c r="I17" s="37">
        <v>2</v>
      </c>
      <c r="J17" s="37">
        <v>6</v>
      </c>
      <c r="K17" s="37">
        <v>9</v>
      </c>
      <c r="L17" s="37">
        <v>11</v>
      </c>
      <c r="M17" s="37">
        <v>2</v>
      </c>
      <c r="N17" s="37">
        <v>2</v>
      </c>
      <c r="O17" s="37">
        <v>2</v>
      </c>
      <c r="P17" s="37">
        <v>2</v>
      </c>
      <c r="Q17" s="37">
        <v>2</v>
      </c>
      <c r="R17" s="37">
        <v>0</v>
      </c>
    </row>
    <row r="18" spans="1:18" x14ac:dyDescent="0.2">
      <c r="B18" s="1" t="s">
        <v>4</v>
      </c>
      <c r="C18" s="37" t="s">
        <v>19</v>
      </c>
      <c r="D18" s="37">
        <v>1</v>
      </c>
      <c r="E18" s="37" t="s">
        <v>19</v>
      </c>
      <c r="F18" s="37">
        <v>1</v>
      </c>
      <c r="G18" s="37">
        <v>1</v>
      </c>
      <c r="H18" s="37">
        <v>1</v>
      </c>
      <c r="I18" s="37">
        <v>1</v>
      </c>
      <c r="J18" s="37">
        <v>0</v>
      </c>
      <c r="K18" s="37">
        <v>0</v>
      </c>
      <c r="L18" s="37">
        <v>1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</row>
    <row r="19" spans="1:18" x14ac:dyDescent="0.2">
      <c r="B19" s="17" t="s">
        <v>5</v>
      </c>
      <c r="C19" s="37" t="s">
        <v>19</v>
      </c>
      <c r="D19" s="18">
        <v>2</v>
      </c>
      <c r="E19" s="38" t="s">
        <v>19</v>
      </c>
      <c r="F19" s="18" t="s">
        <v>19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</row>
    <row r="20" spans="1:18" x14ac:dyDescent="0.2">
      <c r="B20" s="7" t="s">
        <v>8</v>
      </c>
      <c r="C20" s="39">
        <v>9</v>
      </c>
      <c r="D20" s="39">
        <v>3</v>
      </c>
      <c r="E20" s="39">
        <v>3</v>
      </c>
      <c r="F20" s="39">
        <v>8</v>
      </c>
      <c r="G20" s="39">
        <v>2</v>
      </c>
      <c r="H20" s="39">
        <v>7</v>
      </c>
      <c r="I20" s="39">
        <v>3</v>
      </c>
      <c r="J20" s="39">
        <v>1</v>
      </c>
      <c r="K20" s="39">
        <v>0</v>
      </c>
      <c r="L20" s="39">
        <v>2</v>
      </c>
      <c r="M20" s="39">
        <v>3</v>
      </c>
      <c r="N20" s="39">
        <v>3</v>
      </c>
      <c r="O20" s="39">
        <v>3</v>
      </c>
      <c r="P20" s="39">
        <v>3</v>
      </c>
      <c r="Q20" s="39">
        <v>3</v>
      </c>
      <c r="R20" s="39">
        <v>2</v>
      </c>
    </row>
    <row r="21" spans="1:18" x14ac:dyDescent="0.2">
      <c r="B21" s="20" t="s">
        <v>9</v>
      </c>
      <c r="C21" s="40">
        <v>49</v>
      </c>
      <c r="D21" s="40">
        <v>53</v>
      </c>
      <c r="E21" s="40">
        <v>62</v>
      </c>
      <c r="F21" s="40">
        <v>71</v>
      </c>
      <c r="G21" s="40">
        <v>62</v>
      </c>
      <c r="H21" s="40">
        <v>56</v>
      </c>
      <c r="I21" s="40">
        <v>56</v>
      </c>
      <c r="J21" s="40">
        <v>30</v>
      </c>
      <c r="K21" s="40">
        <v>44</v>
      </c>
      <c r="L21" s="40">
        <v>35</v>
      </c>
      <c r="M21" s="40">
        <v>29</v>
      </c>
      <c r="N21" s="40">
        <v>29</v>
      </c>
      <c r="O21" s="40">
        <v>29</v>
      </c>
      <c r="P21" s="40">
        <v>29</v>
      </c>
      <c r="Q21" s="40">
        <v>29</v>
      </c>
      <c r="R21" s="40">
        <v>29</v>
      </c>
    </row>
    <row r="22" spans="1:18" s="7" customFormat="1" x14ac:dyDescent="0.2">
      <c r="A22" s="1"/>
      <c r="B22" s="2"/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30.75" customHeight="1" x14ac:dyDescent="0.2">
      <c r="A23" s="72" t="s">
        <v>18</v>
      </c>
      <c r="D23" s="74"/>
      <c r="E23" s="74"/>
      <c r="F23" s="74"/>
      <c r="G23" s="74"/>
      <c r="H23" s="74"/>
      <c r="I23" s="74"/>
      <c r="J23" s="86" t="s">
        <v>51</v>
      </c>
      <c r="K23" s="86"/>
      <c r="L23" s="86"/>
      <c r="M23" s="86"/>
      <c r="N23" s="86"/>
      <c r="O23" s="86"/>
      <c r="P23" s="86"/>
      <c r="Q23" s="86"/>
      <c r="R23" s="86"/>
    </row>
    <row r="24" spans="1:18" x14ac:dyDescent="0.2">
      <c r="A24" s="72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O24" s="1">
        <v>2006</v>
      </c>
      <c r="P24" s="15">
        <v>1248</v>
      </c>
      <c r="Q24" s="15">
        <v>620962</v>
      </c>
    </row>
    <row r="25" spans="1:18" ht="12.75" customHeight="1" x14ac:dyDescent="0.2">
      <c r="I25" s="23"/>
      <c r="J25" s="23"/>
      <c r="K25" s="23"/>
      <c r="L25" s="23"/>
      <c r="M25" s="23"/>
      <c r="N25" s="23" t="s">
        <v>10</v>
      </c>
      <c r="O25" s="23" t="s">
        <v>10</v>
      </c>
      <c r="P25" s="23" t="s">
        <v>10</v>
      </c>
      <c r="Q25" s="23" t="s">
        <v>10</v>
      </c>
      <c r="R25" s="23" t="s">
        <v>10</v>
      </c>
    </row>
    <row r="26" spans="1:18" x14ac:dyDescent="0.2">
      <c r="B26" s="8" t="s">
        <v>0</v>
      </c>
      <c r="C26" s="9">
        <f>C11</f>
        <v>2007</v>
      </c>
      <c r="D26" s="9">
        <f>D11</f>
        <v>2008</v>
      </c>
      <c r="E26" s="9">
        <f>E11</f>
        <v>2009</v>
      </c>
      <c r="F26" s="9">
        <f>F11</f>
        <v>2010</v>
      </c>
      <c r="G26" s="10">
        <v>2011</v>
      </c>
      <c r="H26" s="10">
        <v>2012</v>
      </c>
      <c r="I26" s="10">
        <v>2013</v>
      </c>
      <c r="J26" s="10">
        <v>2014</v>
      </c>
      <c r="K26" s="10">
        <v>2015</v>
      </c>
      <c r="L26" s="10">
        <v>2016</v>
      </c>
      <c r="M26" s="10">
        <v>2017</v>
      </c>
      <c r="N26" s="10">
        <v>2018</v>
      </c>
      <c r="O26" s="10">
        <v>2019</v>
      </c>
      <c r="P26" s="10">
        <v>2020</v>
      </c>
      <c r="Q26" s="10">
        <v>2021</v>
      </c>
      <c r="R26" s="10">
        <v>2018</v>
      </c>
    </row>
    <row r="27" spans="1:18" x14ac:dyDescent="0.2">
      <c r="B27" s="11"/>
      <c r="C27" s="12"/>
      <c r="D27" s="12"/>
      <c r="E27" s="12"/>
      <c r="F27" s="12"/>
    </row>
    <row r="28" spans="1:18" x14ac:dyDescent="0.2">
      <c r="B28" s="2" t="s">
        <v>1</v>
      </c>
      <c r="C28" s="24">
        <v>36190.002999999997</v>
      </c>
      <c r="D28" s="24">
        <v>27904.23</v>
      </c>
      <c r="E28" s="24">
        <v>12791.593000000001</v>
      </c>
      <c r="F28" s="24">
        <v>18891.633000000002</v>
      </c>
      <c r="G28" s="24">
        <v>9744.0570000000007</v>
      </c>
      <c r="H28" s="24">
        <f>SUM(H30:H36)</f>
        <v>18685</v>
      </c>
      <c r="I28" s="22">
        <v>9819.125</v>
      </c>
      <c r="J28" s="22">
        <f>SUM(J30:J36)</f>
        <v>5410</v>
      </c>
      <c r="K28" s="22">
        <f>SUM(K30:K36)</f>
        <v>6200</v>
      </c>
      <c r="L28" s="22">
        <f>SUM(L30:L36)</f>
        <v>10032</v>
      </c>
      <c r="M28" s="22">
        <f>SUM(M30:M36)</f>
        <v>6200</v>
      </c>
      <c r="N28" s="22">
        <f t="shared" ref="N28:Q28" si="1">SUM(N30:N36)</f>
        <v>6200</v>
      </c>
      <c r="O28" s="22">
        <f t="shared" si="1"/>
        <v>6200</v>
      </c>
      <c r="P28" s="22">
        <f t="shared" si="1"/>
        <v>6200</v>
      </c>
      <c r="Q28" s="22">
        <f t="shared" si="1"/>
        <v>6200</v>
      </c>
      <c r="R28" s="22">
        <f>SUM(R30:R36)</f>
        <v>3919</v>
      </c>
    </row>
    <row r="29" spans="1:18" ht="12.75" customHeight="1" x14ac:dyDescent="0.2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8" ht="13.5" customHeight="1" x14ac:dyDescent="0.2">
      <c r="B30" s="1" t="s">
        <v>34</v>
      </c>
      <c r="C30" s="37">
        <v>6461.8029999999999</v>
      </c>
      <c r="D30" s="37">
        <v>7764.1120000000001</v>
      </c>
      <c r="E30" s="37">
        <v>5750.5429999999997</v>
      </c>
      <c r="F30" s="37">
        <v>6009.0029999999997</v>
      </c>
      <c r="G30" s="37">
        <v>7408.75</v>
      </c>
      <c r="H30" s="37">
        <v>4210</v>
      </c>
      <c r="I30" s="15">
        <v>5881.375</v>
      </c>
      <c r="J30" s="15">
        <v>3809</v>
      </c>
      <c r="K30" s="15">
        <v>3400</v>
      </c>
      <c r="L30" s="15">
        <v>3749</v>
      </c>
      <c r="M30" s="15">
        <v>4665</v>
      </c>
      <c r="N30" s="15">
        <v>4665</v>
      </c>
      <c r="O30" s="15">
        <v>4665</v>
      </c>
      <c r="P30" s="15">
        <v>4665</v>
      </c>
      <c r="Q30" s="15">
        <v>4665</v>
      </c>
      <c r="R30" s="15">
        <v>1941</v>
      </c>
    </row>
    <row r="31" spans="1:18" x14ac:dyDescent="0.2">
      <c r="B31" s="1" t="s">
        <v>11</v>
      </c>
      <c r="C31" s="37">
        <v>23874</v>
      </c>
      <c r="D31" s="37">
        <v>8220</v>
      </c>
      <c r="E31" s="37">
        <v>650</v>
      </c>
      <c r="F31" s="37">
        <v>407.10500000000002</v>
      </c>
      <c r="G31" s="37">
        <v>0</v>
      </c>
      <c r="H31" s="37">
        <v>0</v>
      </c>
      <c r="I31" s="15">
        <v>515.875</v>
      </c>
      <c r="J31" s="15">
        <v>0</v>
      </c>
      <c r="K31" s="15">
        <v>0</v>
      </c>
      <c r="L31" s="15">
        <v>259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</row>
    <row r="32" spans="1:18" x14ac:dyDescent="0.2">
      <c r="B32" s="1" t="s">
        <v>3</v>
      </c>
      <c r="C32" s="37">
        <v>319</v>
      </c>
      <c r="D32" s="37">
        <v>972</v>
      </c>
      <c r="E32" s="37">
        <v>1085</v>
      </c>
      <c r="F32" s="37">
        <v>1265.625</v>
      </c>
      <c r="G32" s="37">
        <v>50.7</v>
      </c>
      <c r="H32" s="37">
        <v>991</v>
      </c>
      <c r="I32" s="15">
        <v>155</v>
      </c>
      <c r="J32" s="15">
        <v>594</v>
      </c>
      <c r="K32" s="15">
        <v>2100</v>
      </c>
      <c r="L32" s="15">
        <v>308</v>
      </c>
      <c r="M32" s="15">
        <v>60</v>
      </c>
      <c r="N32" s="15">
        <v>60</v>
      </c>
      <c r="O32" s="15">
        <v>60</v>
      </c>
      <c r="P32" s="15">
        <v>60</v>
      </c>
      <c r="Q32" s="15">
        <v>60</v>
      </c>
      <c r="R32" s="15">
        <v>0</v>
      </c>
    </row>
    <row r="33" spans="1:26" x14ac:dyDescent="0.2">
      <c r="A33" s="26"/>
      <c r="B33" s="1" t="s">
        <v>4</v>
      </c>
      <c r="C33" s="37" t="s">
        <v>19</v>
      </c>
      <c r="D33" s="37">
        <v>40</v>
      </c>
      <c r="E33" s="37" t="s">
        <v>19</v>
      </c>
      <c r="F33" s="37">
        <v>350</v>
      </c>
      <c r="G33" s="37">
        <v>1600</v>
      </c>
      <c r="H33" s="37">
        <v>1500</v>
      </c>
      <c r="I33" s="15">
        <v>42</v>
      </c>
      <c r="J33" s="15">
        <v>0</v>
      </c>
      <c r="K33" s="15">
        <v>0</v>
      </c>
      <c r="L33" s="15">
        <v>2700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</row>
    <row r="34" spans="1:26" x14ac:dyDescent="0.2">
      <c r="B34" s="1" t="s">
        <v>5</v>
      </c>
      <c r="C34" s="37" t="s">
        <v>19</v>
      </c>
      <c r="D34" s="18">
        <v>6900</v>
      </c>
      <c r="E34" s="18" t="s">
        <v>19</v>
      </c>
      <c r="F34" s="18" t="s">
        <v>19</v>
      </c>
      <c r="G34" s="24" t="s">
        <v>19</v>
      </c>
      <c r="H34" s="24">
        <v>0</v>
      </c>
      <c r="I34" s="15">
        <v>0</v>
      </c>
      <c r="J34" s="15">
        <v>0</v>
      </c>
      <c r="K34" s="15">
        <v>0</v>
      </c>
      <c r="L34" s="15"/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</row>
    <row r="35" spans="1:26" x14ac:dyDescent="0.2">
      <c r="B35" s="1" t="s">
        <v>8</v>
      </c>
      <c r="C35" s="37">
        <v>2074</v>
      </c>
      <c r="D35" s="37">
        <v>86</v>
      </c>
      <c r="E35" s="37">
        <v>2025</v>
      </c>
      <c r="F35" s="37">
        <v>9107</v>
      </c>
      <c r="G35" s="37">
        <v>91</v>
      </c>
      <c r="H35" s="37">
        <v>7064</v>
      </c>
      <c r="I35" s="15">
        <v>675</v>
      </c>
      <c r="J35" s="15">
        <v>78</v>
      </c>
      <c r="K35" s="15"/>
      <c r="L35" s="15">
        <v>1314</v>
      </c>
      <c r="M35" s="15">
        <v>382</v>
      </c>
      <c r="N35" s="15">
        <v>382</v>
      </c>
      <c r="O35" s="15">
        <v>382</v>
      </c>
      <c r="P35" s="15">
        <v>382</v>
      </c>
      <c r="Q35" s="15">
        <v>382</v>
      </c>
      <c r="R35" s="15">
        <v>1670</v>
      </c>
    </row>
    <row r="36" spans="1:26" x14ac:dyDescent="0.2">
      <c r="B36" s="20" t="s">
        <v>9</v>
      </c>
      <c r="C36" s="40">
        <v>3461.2</v>
      </c>
      <c r="D36" s="40">
        <v>3922.1179999999999</v>
      </c>
      <c r="E36" s="40">
        <v>3281.05</v>
      </c>
      <c r="F36" s="40">
        <v>1752.9</v>
      </c>
      <c r="G36" s="40">
        <v>593.60699999999997</v>
      </c>
      <c r="H36" s="40">
        <v>4920</v>
      </c>
      <c r="I36" s="40">
        <v>2549.875</v>
      </c>
      <c r="J36" s="40">
        <v>929</v>
      </c>
      <c r="K36" s="40">
        <v>700</v>
      </c>
      <c r="L36" s="40">
        <v>1702</v>
      </c>
      <c r="M36" s="40">
        <v>1093</v>
      </c>
      <c r="N36" s="40">
        <v>1093</v>
      </c>
      <c r="O36" s="40">
        <v>1093</v>
      </c>
      <c r="P36" s="40">
        <v>1093</v>
      </c>
      <c r="Q36" s="40">
        <v>1093</v>
      </c>
      <c r="R36" s="40">
        <v>308</v>
      </c>
    </row>
    <row r="37" spans="1:26" x14ac:dyDescent="0.2"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6" x14ac:dyDescent="0.2">
      <c r="B38" s="16" t="s">
        <v>13</v>
      </c>
    </row>
    <row r="39" spans="1:26" ht="15" x14ac:dyDescent="0.25">
      <c r="H39" s="27"/>
      <c r="I39" s="27"/>
      <c r="J39" s="27"/>
      <c r="K39" s="27"/>
      <c r="L39" s="27"/>
      <c r="N39" s="41"/>
    </row>
    <row r="40" spans="1:26" x14ac:dyDescent="0.2">
      <c r="H40" s="27"/>
      <c r="I40" s="27"/>
      <c r="J40" s="27"/>
      <c r="K40" s="27"/>
      <c r="R40" s="15"/>
    </row>
    <row r="41" spans="1:26" x14ac:dyDescent="0.2">
      <c r="H41" s="27"/>
      <c r="I41" s="27"/>
      <c r="J41" s="27"/>
      <c r="K41" s="27"/>
      <c r="R41" s="15"/>
    </row>
    <row r="42" spans="1:26" x14ac:dyDescent="0.2">
      <c r="H42" s="27"/>
      <c r="I42" s="27"/>
      <c r="J42" s="27"/>
      <c r="K42" s="27"/>
    </row>
    <row r="43" spans="1:26" x14ac:dyDescent="0.2">
      <c r="H43" s="27"/>
      <c r="I43" s="27"/>
      <c r="J43" s="27"/>
      <c r="K43" s="27"/>
    </row>
    <row r="44" spans="1:26" x14ac:dyDescent="0.2">
      <c r="H44" s="27"/>
      <c r="I44" s="27"/>
      <c r="J44" s="27"/>
      <c r="K44" s="27"/>
    </row>
    <row r="45" spans="1:26" ht="15" x14ac:dyDescent="0.25">
      <c r="L45" s="41"/>
      <c r="M45" s="41"/>
      <c r="N45" s="41">
        <v>1998</v>
      </c>
      <c r="O45" s="41">
        <v>1999</v>
      </c>
      <c r="P45" s="41">
        <v>2000</v>
      </c>
      <c r="Q45" s="41">
        <v>2001</v>
      </c>
      <c r="R45" s="42">
        <v>2003</v>
      </c>
      <c r="S45" s="41">
        <v>2004</v>
      </c>
      <c r="T45" s="41">
        <v>2005</v>
      </c>
      <c r="U45" s="41">
        <v>2006</v>
      </c>
      <c r="V45" s="41">
        <v>2007</v>
      </c>
      <c r="W45" s="41">
        <v>2008</v>
      </c>
      <c r="X45" s="41">
        <v>2009</v>
      </c>
      <c r="Y45" s="41">
        <v>2010</v>
      </c>
      <c r="Z45" s="41">
        <v>2011</v>
      </c>
    </row>
    <row r="46" spans="1:26" ht="15" x14ac:dyDescent="0.25">
      <c r="H46" s="15"/>
      <c r="I46" s="15"/>
      <c r="J46" s="15"/>
      <c r="K46" s="15"/>
      <c r="N46" s="43" t="e">
        <f>#REF!</f>
        <v>#REF!</v>
      </c>
      <c r="O46" s="43" t="e">
        <f>#REF!</f>
        <v>#REF!</v>
      </c>
      <c r="P46" s="41">
        <v>125</v>
      </c>
      <c r="Q46" s="41">
        <v>111</v>
      </c>
      <c r="R46" s="42">
        <v>112</v>
      </c>
      <c r="S46" s="41">
        <v>140</v>
      </c>
      <c r="T46" s="41">
        <v>135</v>
      </c>
      <c r="U46" s="41">
        <v>132</v>
      </c>
      <c r="V46" s="41">
        <v>104</v>
      </c>
      <c r="W46" s="41">
        <v>109</v>
      </c>
      <c r="X46" s="41">
        <v>103</v>
      </c>
      <c r="Y46" s="43">
        <v>114</v>
      </c>
      <c r="Z46" s="43">
        <v>102</v>
      </c>
    </row>
    <row r="47" spans="1:26" ht="15" x14ac:dyDescent="0.25">
      <c r="H47" s="15"/>
      <c r="I47" s="15"/>
      <c r="J47" s="15"/>
      <c r="K47" s="15"/>
      <c r="N47" s="43" t="e">
        <f>#REF!</f>
        <v>#REF!</v>
      </c>
      <c r="O47" s="43" t="e">
        <f>#REF!</f>
        <v>#REF!</v>
      </c>
      <c r="P47" s="44">
        <v>12381</v>
      </c>
      <c r="Q47" s="44">
        <v>13304</v>
      </c>
      <c r="R47" s="45">
        <v>7449.2870000000003</v>
      </c>
      <c r="S47" s="44">
        <v>13733</v>
      </c>
      <c r="T47" s="44">
        <v>9280</v>
      </c>
      <c r="U47" s="44">
        <v>17925</v>
      </c>
      <c r="V47" s="46">
        <v>36190</v>
      </c>
      <c r="W47" s="46">
        <v>27904</v>
      </c>
      <c r="X47" s="46">
        <v>12792</v>
      </c>
      <c r="Y47" s="43">
        <v>18891.633000000002</v>
      </c>
      <c r="Z47" s="43">
        <v>9744.0570000000007</v>
      </c>
    </row>
    <row r="48" spans="1:26" x14ac:dyDescent="0.2"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x14ac:dyDescent="0.2"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15" x14ac:dyDescent="0.25">
      <c r="H50" s="15"/>
      <c r="I50" s="15"/>
      <c r="J50" s="15"/>
      <c r="K50" s="15"/>
      <c r="L50" s="15"/>
      <c r="M50" s="15"/>
      <c r="N50" s="15"/>
      <c r="O50" s="41" t="s">
        <v>6</v>
      </c>
      <c r="P50" s="15"/>
      <c r="Q50" s="15"/>
      <c r="R50" s="15"/>
      <c r="S50" s="15"/>
      <c r="T50" s="15"/>
    </row>
    <row r="51" spans="1:20" ht="15" x14ac:dyDescent="0.25">
      <c r="H51" s="15"/>
      <c r="I51" s="15"/>
      <c r="J51" s="15"/>
      <c r="K51" s="15"/>
      <c r="L51" s="15"/>
      <c r="M51" s="15"/>
      <c r="N51" s="15"/>
      <c r="O51" s="41" t="s">
        <v>20</v>
      </c>
      <c r="P51" s="15"/>
      <c r="Q51" s="15"/>
      <c r="R51" s="15"/>
      <c r="S51" s="15"/>
      <c r="T51" s="15"/>
    </row>
    <row r="52" spans="1:20" x14ac:dyDescent="0.2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x14ac:dyDescent="0.2"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x14ac:dyDescent="0.2"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x14ac:dyDescent="0.2"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20" ht="15" x14ac:dyDescent="0.25">
      <c r="A56" s="75">
        <v>69</v>
      </c>
      <c r="B56" s="75"/>
      <c r="C56" s="75"/>
      <c r="D56" s="75"/>
      <c r="E56" s="75"/>
      <c r="F56" s="75"/>
      <c r="G56" s="75"/>
      <c r="H56" s="75"/>
      <c r="I56" s="47"/>
      <c r="J56" s="47"/>
      <c r="K56" s="47"/>
      <c r="L56" s="30"/>
      <c r="M56" s="30"/>
      <c r="O56" s="15"/>
      <c r="P56" s="15"/>
      <c r="Q56" s="15"/>
      <c r="R56" s="15"/>
      <c r="S56" s="31"/>
    </row>
    <row r="57" spans="1:20" ht="9" customHeight="1" x14ac:dyDescent="0.2">
      <c r="A57" s="32"/>
      <c r="B57" s="32"/>
      <c r="H57" s="25"/>
      <c r="I57" s="25"/>
      <c r="J57" s="25"/>
      <c r="K57" s="25"/>
      <c r="L57" s="30"/>
      <c r="M57" s="30"/>
      <c r="O57" s="15"/>
      <c r="P57" s="15"/>
      <c r="Q57" s="15"/>
      <c r="R57" s="15"/>
      <c r="S57" s="31"/>
    </row>
    <row r="58" spans="1:20" x14ac:dyDescent="0.2">
      <c r="H58" s="25"/>
      <c r="I58" s="25"/>
      <c r="J58" s="25"/>
      <c r="K58" s="25"/>
      <c r="L58" s="30"/>
      <c r="M58" s="30"/>
      <c r="O58" s="15"/>
      <c r="P58" s="15"/>
      <c r="Q58" s="15"/>
      <c r="R58" s="15"/>
      <c r="S58" s="31"/>
    </row>
    <row r="59" spans="1:20" x14ac:dyDescent="0.2">
      <c r="H59" s="25"/>
      <c r="I59" s="25"/>
      <c r="J59" s="25"/>
      <c r="K59" s="25"/>
      <c r="L59" s="30"/>
      <c r="M59" s="30"/>
      <c r="O59" s="15"/>
      <c r="P59" s="15"/>
      <c r="Q59" s="15"/>
      <c r="R59" s="15"/>
      <c r="S59" s="31"/>
    </row>
    <row r="60" spans="1:20" x14ac:dyDescent="0.2">
      <c r="H60" s="25"/>
      <c r="I60" s="25"/>
      <c r="J60" s="25"/>
      <c r="K60" s="25"/>
      <c r="L60" s="30"/>
      <c r="M60" s="30"/>
      <c r="O60" s="15"/>
      <c r="P60" s="15"/>
      <c r="Q60" s="15"/>
      <c r="R60" s="15"/>
      <c r="S60" s="31"/>
    </row>
    <row r="61" spans="1:20" x14ac:dyDescent="0.2">
      <c r="H61" s="25"/>
      <c r="I61" s="25"/>
      <c r="J61" s="25"/>
      <c r="K61" s="25"/>
      <c r="L61" s="30"/>
      <c r="M61" s="30"/>
      <c r="O61" s="33"/>
      <c r="P61" s="15"/>
      <c r="Q61" s="15"/>
      <c r="R61" s="15"/>
      <c r="S61" s="31"/>
    </row>
    <row r="62" spans="1:20" x14ac:dyDescent="0.2">
      <c r="R62" s="15"/>
    </row>
  </sheetData>
  <mergeCells count="3">
    <mergeCell ref="J8:R8"/>
    <mergeCell ref="J23:R23"/>
    <mergeCell ref="A56:H56"/>
  </mergeCells>
  <pageMargins left="0.7" right="0.7" top="0.75" bottom="0.75" header="0.3" footer="0.3"/>
  <pageSetup scale="92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zoomScaleNormal="100" zoomScaleSheetLayoutView="100" workbookViewId="0">
      <selection activeCell="K4" sqref="K4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5" width="12.28515625" style="1" hidden="1" customWidth="1"/>
    <col min="6" max="10" width="9.7109375" style="1" hidden="1" customWidth="1"/>
    <col min="11" max="13" width="12.28515625" style="1"/>
    <col min="14" max="17" width="0" style="1" hidden="1" customWidth="1"/>
    <col min="18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2" spans="2:18" x14ac:dyDescent="0.2">
      <c r="M2" s="2" t="s">
        <v>47</v>
      </c>
    </row>
    <row r="3" spans="2:18" x14ac:dyDescent="0.2">
      <c r="D3" s="3"/>
      <c r="E3" s="3"/>
      <c r="F3" s="3"/>
      <c r="G3" s="3"/>
      <c r="H3" s="4"/>
    </row>
    <row r="6" spans="2:18" ht="12.75" customHeight="1" x14ac:dyDescent="0.2">
      <c r="B6" s="72" t="s">
        <v>21</v>
      </c>
      <c r="D6" s="78" t="s">
        <v>40</v>
      </c>
      <c r="E6" s="78"/>
      <c r="F6" s="78"/>
      <c r="G6" s="78"/>
    </row>
    <row r="7" spans="2:18" ht="12.75" customHeight="1" x14ac:dyDescent="0.2">
      <c r="C7" s="72"/>
      <c r="D7" s="78"/>
      <c r="E7" s="78"/>
      <c r="F7" s="78"/>
      <c r="G7" s="78"/>
      <c r="J7" s="71"/>
      <c r="K7" s="76" t="s">
        <v>52</v>
      </c>
      <c r="L7" s="76"/>
      <c r="M7" s="76"/>
      <c r="N7" s="76"/>
      <c r="O7" s="76"/>
      <c r="P7" s="76"/>
      <c r="Q7" s="76"/>
      <c r="R7" s="76"/>
    </row>
    <row r="8" spans="2:18" ht="12.75" customHeight="1" x14ac:dyDescent="0.2">
      <c r="C8" s="5"/>
      <c r="D8" s="6"/>
      <c r="E8" s="6"/>
      <c r="F8" s="6"/>
      <c r="G8" s="6"/>
    </row>
    <row r="9" spans="2:18" x14ac:dyDescent="0.2">
      <c r="C9" s="8" t="s">
        <v>0</v>
      </c>
      <c r="D9" s="9">
        <v>2008</v>
      </c>
      <c r="E9" s="9">
        <v>2009</v>
      </c>
      <c r="F9" s="9">
        <v>2010</v>
      </c>
      <c r="G9" s="10">
        <v>2011</v>
      </c>
      <c r="H9" s="10">
        <v>2012</v>
      </c>
      <c r="I9" s="10">
        <v>2013</v>
      </c>
      <c r="J9" s="10">
        <v>2014</v>
      </c>
      <c r="K9" s="10">
        <v>2015</v>
      </c>
      <c r="L9" s="10">
        <v>2016</v>
      </c>
      <c r="M9" s="10">
        <v>2017</v>
      </c>
      <c r="N9" s="10">
        <v>2018</v>
      </c>
      <c r="O9" s="10">
        <v>2019</v>
      </c>
      <c r="P9" s="10">
        <v>2020</v>
      </c>
      <c r="Q9" s="10">
        <v>2021</v>
      </c>
      <c r="R9" s="10">
        <v>2018</v>
      </c>
    </row>
    <row r="10" spans="2:18" x14ac:dyDescent="0.2">
      <c r="C10" s="11"/>
      <c r="D10" s="12"/>
      <c r="E10" s="12"/>
      <c r="F10" s="12"/>
    </row>
    <row r="11" spans="2:18" x14ac:dyDescent="0.2">
      <c r="C11" s="13" t="s">
        <v>1</v>
      </c>
      <c r="D11" s="14">
        <v>1081</v>
      </c>
      <c r="E11" s="14">
        <v>1145</v>
      </c>
      <c r="F11" s="14">
        <v>990</v>
      </c>
      <c r="G11" s="14">
        <v>823</v>
      </c>
      <c r="H11" s="14">
        <f>SUM(H13:H20)</f>
        <v>737</v>
      </c>
      <c r="I11" s="14">
        <v>645</v>
      </c>
      <c r="J11" s="14">
        <f>SUM(J13:J20)</f>
        <v>539</v>
      </c>
      <c r="K11" s="14">
        <f>SUM(K13:K20)</f>
        <v>736</v>
      </c>
      <c r="L11" s="14">
        <f>SUM(L13:L20)</f>
        <v>804</v>
      </c>
      <c r="M11" s="14">
        <f>SUM(M13:M20)</f>
        <v>879</v>
      </c>
      <c r="N11" s="14">
        <f t="shared" ref="N11:Q11" si="0">SUM(N13:N20)</f>
        <v>879</v>
      </c>
      <c r="O11" s="14">
        <f t="shared" si="0"/>
        <v>879</v>
      </c>
      <c r="P11" s="14">
        <f t="shared" si="0"/>
        <v>879</v>
      </c>
      <c r="Q11" s="14">
        <f t="shared" si="0"/>
        <v>879</v>
      </c>
      <c r="R11" s="14">
        <f>SUM(R13:R20)</f>
        <v>959</v>
      </c>
    </row>
    <row r="13" spans="2:18" x14ac:dyDescent="0.2">
      <c r="C13" s="1" t="s">
        <v>34</v>
      </c>
      <c r="D13" s="15">
        <v>503</v>
      </c>
      <c r="E13" s="15">
        <v>532</v>
      </c>
      <c r="F13" s="15">
        <v>390</v>
      </c>
      <c r="G13" s="15">
        <v>348</v>
      </c>
      <c r="H13" s="15">
        <v>347</v>
      </c>
      <c r="I13" s="15">
        <v>290</v>
      </c>
      <c r="J13" s="15">
        <v>252</v>
      </c>
      <c r="K13" s="15">
        <v>223</v>
      </c>
      <c r="L13" s="15">
        <v>236</v>
      </c>
      <c r="M13" s="15">
        <v>255</v>
      </c>
      <c r="N13" s="15">
        <v>255</v>
      </c>
      <c r="O13" s="15">
        <v>255</v>
      </c>
      <c r="P13" s="15">
        <v>255</v>
      </c>
      <c r="Q13" s="15">
        <v>255</v>
      </c>
      <c r="R13" s="15">
        <v>260</v>
      </c>
    </row>
    <row r="14" spans="2:18" x14ac:dyDescent="0.2">
      <c r="C14" s="16" t="s">
        <v>2</v>
      </c>
      <c r="D14" s="15">
        <v>182</v>
      </c>
      <c r="E14" s="15">
        <v>171</v>
      </c>
      <c r="F14" s="15">
        <v>114</v>
      </c>
      <c r="G14" s="15">
        <v>77</v>
      </c>
      <c r="H14" s="15">
        <v>54</v>
      </c>
      <c r="I14" s="15">
        <v>46</v>
      </c>
      <c r="J14" s="15">
        <v>45</v>
      </c>
      <c r="K14" s="15">
        <v>65</v>
      </c>
      <c r="L14" s="15">
        <v>49</v>
      </c>
      <c r="M14" s="15">
        <v>81</v>
      </c>
      <c r="N14" s="15">
        <v>81</v>
      </c>
      <c r="O14" s="15">
        <v>81</v>
      </c>
      <c r="P14" s="15">
        <v>81</v>
      </c>
      <c r="Q14" s="15">
        <v>81</v>
      </c>
      <c r="R14" s="15">
        <v>119</v>
      </c>
    </row>
    <row r="15" spans="2:18" x14ac:dyDescent="0.2">
      <c r="C15" s="16" t="s">
        <v>44</v>
      </c>
      <c r="D15" s="15"/>
      <c r="E15" s="15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</row>
    <row r="16" spans="2:18" x14ac:dyDescent="0.2">
      <c r="C16" s="1" t="s">
        <v>3</v>
      </c>
      <c r="D16" s="15">
        <v>176</v>
      </c>
      <c r="E16" s="15">
        <v>116</v>
      </c>
      <c r="F16" s="15">
        <v>120</v>
      </c>
      <c r="G16" s="15">
        <v>112</v>
      </c>
      <c r="H16" s="15">
        <v>100</v>
      </c>
      <c r="I16" s="15">
        <v>116</v>
      </c>
      <c r="J16" s="15">
        <v>73</v>
      </c>
      <c r="K16" s="15">
        <v>75</v>
      </c>
      <c r="L16" s="15">
        <v>79</v>
      </c>
      <c r="M16" s="15">
        <v>89</v>
      </c>
      <c r="N16" s="15">
        <v>89</v>
      </c>
      <c r="O16" s="15">
        <v>89</v>
      </c>
      <c r="P16" s="15">
        <v>89</v>
      </c>
      <c r="Q16" s="15">
        <v>89</v>
      </c>
      <c r="R16" s="15">
        <v>93</v>
      </c>
    </row>
    <row r="17" spans="2:18" x14ac:dyDescent="0.2">
      <c r="C17" s="1" t="s">
        <v>4</v>
      </c>
      <c r="D17" s="15">
        <v>14</v>
      </c>
      <c r="E17" s="15">
        <v>7</v>
      </c>
      <c r="F17" s="15">
        <v>7</v>
      </c>
      <c r="G17" s="15">
        <v>1</v>
      </c>
      <c r="H17" s="15">
        <v>4</v>
      </c>
      <c r="I17" s="15">
        <v>3</v>
      </c>
      <c r="J17" s="15">
        <v>3</v>
      </c>
      <c r="K17" s="15">
        <v>7</v>
      </c>
      <c r="L17" s="15">
        <v>6</v>
      </c>
      <c r="M17" s="15">
        <v>5</v>
      </c>
      <c r="N17" s="15">
        <v>5</v>
      </c>
      <c r="O17" s="15">
        <v>5</v>
      </c>
      <c r="P17" s="15">
        <v>5</v>
      </c>
      <c r="Q17" s="15">
        <v>5</v>
      </c>
      <c r="R17" s="15">
        <v>2</v>
      </c>
    </row>
    <row r="18" spans="2:18" x14ac:dyDescent="0.2">
      <c r="C18" s="17" t="s">
        <v>5</v>
      </c>
      <c r="D18" s="18">
        <v>1</v>
      </c>
      <c r="E18" s="18">
        <v>0</v>
      </c>
      <c r="F18" s="18">
        <v>0</v>
      </c>
      <c r="G18" s="15">
        <v>0</v>
      </c>
      <c r="H18" s="15">
        <v>1</v>
      </c>
      <c r="I18" s="15">
        <v>0</v>
      </c>
      <c r="J18" s="15">
        <v>4</v>
      </c>
      <c r="K18" s="15">
        <v>5</v>
      </c>
      <c r="L18" s="15">
        <v>13</v>
      </c>
      <c r="M18" s="15">
        <v>2</v>
      </c>
      <c r="N18" s="15">
        <v>2</v>
      </c>
      <c r="O18" s="15">
        <v>2</v>
      </c>
      <c r="P18" s="15">
        <v>2</v>
      </c>
      <c r="Q18" s="15">
        <v>2</v>
      </c>
      <c r="R18" s="15">
        <v>0</v>
      </c>
    </row>
    <row r="19" spans="2:18" x14ac:dyDescent="0.2">
      <c r="C19" s="7" t="s">
        <v>8</v>
      </c>
      <c r="D19" s="19">
        <v>36</v>
      </c>
      <c r="E19" s="19">
        <v>16</v>
      </c>
      <c r="F19" s="19">
        <v>12</v>
      </c>
      <c r="G19" s="19">
        <v>15</v>
      </c>
      <c r="H19" s="19">
        <v>17</v>
      </c>
      <c r="I19" s="19">
        <v>3</v>
      </c>
      <c r="J19" s="19">
        <v>9</v>
      </c>
      <c r="K19" s="19">
        <v>7</v>
      </c>
      <c r="L19" s="19">
        <v>16</v>
      </c>
      <c r="M19" s="19">
        <v>8</v>
      </c>
      <c r="N19" s="19">
        <v>8</v>
      </c>
      <c r="O19" s="19">
        <v>8</v>
      </c>
      <c r="P19" s="19">
        <v>8</v>
      </c>
      <c r="Q19" s="19">
        <v>8</v>
      </c>
      <c r="R19" s="19">
        <v>16</v>
      </c>
    </row>
    <row r="20" spans="2:18" x14ac:dyDescent="0.2">
      <c r="C20" s="20" t="s">
        <v>9</v>
      </c>
      <c r="D20" s="21">
        <v>169</v>
      </c>
      <c r="E20" s="21">
        <v>303</v>
      </c>
      <c r="F20" s="21">
        <v>347</v>
      </c>
      <c r="G20" s="21">
        <v>270</v>
      </c>
      <c r="H20" s="21">
        <v>214</v>
      </c>
      <c r="I20" s="21">
        <v>187</v>
      </c>
      <c r="J20" s="21">
        <v>153</v>
      </c>
      <c r="K20" s="21">
        <v>354</v>
      </c>
      <c r="L20" s="21">
        <v>405</v>
      </c>
      <c r="M20" s="21">
        <v>439</v>
      </c>
      <c r="N20" s="21">
        <v>439</v>
      </c>
      <c r="O20" s="21">
        <v>439</v>
      </c>
      <c r="P20" s="21">
        <v>439</v>
      </c>
      <c r="Q20" s="21">
        <v>439</v>
      </c>
      <c r="R20" s="21">
        <v>469</v>
      </c>
    </row>
    <row r="21" spans="2:18" s="7" customFormat="1" x14ac:dyDescent="0.2">
      <c r="C21" s="2"/>
      <c r="D21" s="22"/>
      <c r="E21" s="22"/>
      <c r="F21" s="22"/>
      <c r="G21" s="1"/>
      <c r="H21" s="1"/>
    </row>
    <row r="22" spans="2:18" x14ac:dyDescent="0.2">
      <c r="J22" s="2"/>
      <c r="K22" s="2"/>
    </row>
    <row r="23" spans="2:18" x14ac:dyDescent="0.2">
      <c r="B23" s="72" t="s">
        <v>22</v>
      </c>
      <c r="D23" s="79" t="s">
        <v>41</v>
      </c>
      <c r="E23" s="79"/>
      <c r="F23" s="79"/>
      <c r="G23" s="79"/>
      <c r="K23" s="76" t="s">
        <v>53</v>
      </c>
      <c r="L23" s="76"/>
      <c r="M23" s="76"/>
      <c r="N23" s="76"/>
      <c r="O23" s="76"/>
      <c r="P23" s="76"/>
      <c r="Q23" s="76"/>
      <c r="R23" s="76"/>
    </row>
    <row r="24" spans="2:18" x14ac:dyDescent="0.2">
      <c r="C24" s="72"/>
      <c r="D24" s="79"/>
      <c r="E24" s="79"/>
      <c r="F24" s="79"/>
      <c r="G24" s="79"/>
      <c r="J24" s="2"/>
      <c r="K24" s="2"/>
      <c r="N24" s="1">
        <v>2008</v>
      </c>
      <c r="O24" s="15">
        <v>1168</v>
      </c>
      <c r="P24" s="15">
        <v>480855</v>
      </c>
    </row>
    <row r="25" spans="2:18" x14ac:dyDescent="0.2">
      <c r="I25" s="23"/>
      <c r="J25" s="23"/>
      <c r="K25" s="23"/>
      <c r="L25" s="23"/>
      <c r="M25" s="23"/>
      <c r="N25" s="23" t="s">
        <v>33</v>
      </c>
      <c r="O25" s="23" t="s">
        <v>33</v>
      </c>
      <c r="P25" s="23" t="s">
        <v>33</v>
      </c>
      <c r="Q25" s="23" t="s">
        <v>33</v>
      </c>
      <c r="R25" s="23" t="s">
        <v>33</v>
      </c>
    </row>
    <row r="26" spans="2:18" x14ac:dyDescent="0.2">
      <c r="C26" s="8" t="s">
        <v>0</v>
      </c>
      <c r="D26" s="9">
        <f>D9</f>
        <v>2008</v>
      </c>
      <c r="E26" s="9">
        <f>E9</f>
        <v>2009</v>
      </c>
      <c r="F26" s="9">
        <f>F9</f>
        <v>2010</v>
      </c>
      <c r="G26" s="10">
        <v>2011</v>
      </c>
      <c r="H26" s="10">
        <v>2012</v>
      </c>
      <c r="I26" s="10">
        <v>2013</v>
      </c>
      <c r="J26" s="10">
        <v>2014</v>
      </c>
      <c r="K26" s="10">
        <v>2015</v>
      </c>
      <c r="L26" s="10">
        <v>2016</v>
      </c>
      <c r="M26" s="10">
        <v>2017</v>
      </c>
      <c r="N26" s="10">
        <v>2018</v>
      </c>
      <c r="O26" s="10">
        <v>2019</v>
      </c>
      <c r="P26" s="10">
        <v>2020</v>
      </c>
      <c r="Q26" s="10">
        <v>2021</v>
      </c>
      <c r="R26" s="10">
        <v>2018</v>
      </c>
    </row>
    <row r="27" spans="2:18" ht="12.75" customHeight="1" x14ac:dyDescent="0.2">
      <c r="C27" s="11"/>
      <c r="D27" s="12"/>
      <c r="E27" s="12"/>
      <c r="F27" s="12"/>
    </row>
    <row r="28" spans="2:18" ht="13.5" customHeight="1" x14ac:dyDescent="0.2">
      <c r="C28" s="2" t="s">
        <v>1</v>
      </c>
      <c r="D28" s="29">
        <f>SUM(D30:D37)</f>
        <v>502.23500000000001</v>
      </c>
      <c r="E28" s="29">
        <f>SUM(E30:E37)</f>
        <v>355</v>
      </c>
      <c r="F28" s="29">
        <f>SUM(F30:F37)</f>
        <v>205.69999999999996</v>
      </c>
      <c r="G28" s="29">
        <f>SUM(G30:G37)</f>
        <v>183.10000000000002</v>
      </c>
      <c r="H28" s="29">
        <f>SUM(H30:H37)</f>
        <v>156.39999999999998</v>
      </c>
      <c r="I28" s="29">
        <v>181.5</v>
      </c>
      <c r="J28" s="29">
        <f>SUM(J30:J37)</f>
        <v>356.15204109999996</v>
      </c>
      <c r="K28" s="29">
        <f>SUM(K30:K37)</f>
        <v>186.97378800000001</v>
      </c>
      <c r="L28" s="29">
        <f>SUM(L30:L37)</f>
        <v>246.79999999999998</v>
      </c>
      <c r="M28" s="29">
        <f>SUM(M30:M37)</f>
        <v>234.77</v>
      </c>
      <c r="N28" s="29">
        <f t="shared" ref="N28:Q28" si="1">SUM(N30:N37)</f>
        <v>234.77</v>
      </c>
      <c r="O28" s="29">
        <f t="shared" si="1"/>
        <v>234.77</v>
      </c>
      <c r="P28" s="29">
        <f t="shared" si="1"/>
        <v>234.77</v>
      </c>
      <c r="Q28" s="29">
        <f t="shared" si="1"/>
        <v>234.77</v>
      </c>
      <c r="R28" s="29">
        <f>SUM(R30:R37)</f>
        <v>247.8</v>
      </c>
    </row>
    <row r="29" spans="2:18" x14ac:dyDescent="0.2">
      <c r="D29" s="48"/>
      <c r="E29" s="48"/>
      <c r="F29" s="48"/>
      <c r="G29" s="48"/>
      <c r="J29" s="30"/>
      <c r="K29" s="30"/>
      <c r="L29" s="30"/>
      <c r="M29" s="30"/>
      <c r="N29" s="30"/>
      <c r="O29" s="30"/>
      <c r="P29" s="30"/>
      <c r="Q29" s="30"/>
      <c r="R29" s="30"/>
    </row>
    <row r="30" spans="2:18" x14ac:dyDescent="0.2">
      <c r="C30" s="1" t="s">
        <v>34</v>
      </c>
      <c r="D30" s="30">
        <v>116.6</v>
      </c>
      <c r="E30" s="30">
        <v>146.4</v>
      </c>
      <c r="F30" s="30">
        <v>93.1</v>
      </c>
      <c r="G30" s="30">
        <v>87.9</v>
      </c>
      <c r="H30" s="30">
        <v>103</v>
      </c>
      <c r="I30" s="30">
        <v>86.2</v>
      </c>
      <c r="J30" s="30">
        <f>99.5821794</f>
        <v>99.582179400000001</v>
      </c>
      <c r="K30" s="30">
        <v>96.489800000000002</v>
      </c>
      <c r="L30" s="30">
        <v>84.9</v>
      </c>
      <c r="M30" s="30">
        <v>107.8</v>
      </c>
      <c r="N30" s="30">
        <v>107.8</v>
      </c>
      <c r="O30" s="30">
        <v>107.8</v>
      </c>
      <c r="P30" s="30">
        <v>107.8</v>
      </c>
      <c r="Q30" s="30">
        <v>107.8</v>
      </c>
      <c r="R30" s="30">
        <v>93.5</v>
      </c>
    </row>
    <row r="31" spans="2:18" x14ac:dyDescent="0.2">
      <c r="C31" s="1" t="s">
        <v>11</v>
      </c>
      <c r="D31" s="30">
        <v>116.6</v>
      </c>
      <c r="E31" s="30">
        <v>92.8</v>
      </c>
      <c r="F31" s="30">
        <v>49.5</v>
      </c>
      <c r="G31" s="30">
        <v>37.4</v>
      </c>
      <c r="H31" s="30">
        <v>15.4</v>
      </c>
      <c r="I31" s="30">
        <v>26.9</v>
      </c>
      <c r="J31" s="30">
        <f>72.3082601</f>
        <v>72.308260099999998</v>
      </c>
      <c r="K31" s="30">
        <v>41.557340000000003</v>
      </c>
      <c r="L31" s="30">
        <v>71.099999999999994</v>
      </c>
      <c r="M31" s="30">
        <v>62.5</v>
      </c>
      <c r="N31" s="30">
        <v>62.5</v>
      </c>
      <c r="O31" s="30">
        <v>62.5</v>
      </c>
      <c r="P31" s="30">
        <v>62.5</v>
      </c>
      <c r="Q31" s="30">
        <v>62.5</v>
      </c>
      <c r="R31" s="30">
        <v>59.8</v>
      </c>
    </row>
    <row r="32" spans="2:18" x14ac:dyDescent="0.2">
      <c r="C32" s="1" t="s">
        <v>44</v>
      </c>
      <c r="D32" s="30"/>
      <c r="E32" s="30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</row>
    <row r="33" spans="3:18" x14ac:dyDescent="0.2">
      <c r="C33" s="1" t="s">
        <v>3</v>
      </c>
      <c r="D33" s="30">
        <v>162.80000000000001</v>
      </c>
      <c r="E33" s="30">
        <v>49.5</v>
      </c>
      <c r="F33" s="30">
        <v>45.3</v>
      </c>
      <c r="G33" s="30">
        <v>39.5</v>
      </c>
      <c r="H33" s="30">
        <v>15.1</v>
      </c>
      <c r="I33" s="30">
        <v>44.3</v>
      </c>
      <c r="J33" s="30">
        <f>25.7268016</f>
        <v>25.726801600000002</v>
      </c>
      <c r="K33" s="30">
        <v>26.328868</v>
      </c>
      <c r="L33" s="30">
        <v>40.200000000000003</v>
      </c>
      <c r="M33" s="30">
        <v>41.4</v>
      </c>
      <c r="N33" s="30">
        <v>41.4</v>
      </c>
      <c r="O33" s="30">
        <v>41.4</v>
      </c>
      <c r="P33" s="30">
        <v>41.4</v>
      </c>
      <c r="Q33" s="30">
        <v>41.4</v>
      </c>
      <c r="R33" s="30">
        <v>42.1</v>
      </c>
    </row>
    <row r="34" spans="3:18" x14ac:dyDescent="0.2">
      <c r="C34" s="1" t="s">
        <v>4</v>
      </c>
      <c r="D34" s="30">
        <v>29.6</v>
      </c>
      <c r="E34" s="30">
        <v>2.5</v>
      </c>
      <c r="F34" s="30">
        <v>3.2</v>
      </c>
      <c r="G34" s="30">
        <v>0.5</v>
      </c>
      <c r="H34" s="30">
        <v>1.2</v>
      </c>
      <c r="I34" s="30">
        <v>3.6</v>
      </c>
      <c r="J34" s="30">
        <f>0.1768</f>
        <v>0.17680000000000001</v>
      </c>
      <c r="K34" s="30">
        <v>1.39</v>
      </c>
      <c r="L34" s="30">
        <v>3.9</v>
      </c>
      <c r="M34" s="30">
        <v>3.6</v>
      </c>
      <c r="N34" s="30">
        <v>3.6</v>
      </c>
      <c r="O34" s="30">
        <v>3.6</v>
      </c>
      <c r="P34" s="30">
        <v>3.6</v>
      </c>
      <c r="Q34" s="30">
        <v>3.6</v>
      </c>
      <c r="R34" s="30">
        <v>0</v>
      </c>
    </row>
    <row r="35" spans="3:18" x14ac:dyDescent="0.2">
      <c r="C35" s="1" t="s">
        <v>5</v>
      </c>
      <c r="D35" s="49">
        <v>0.23499999999999999</v>
      </c>
      <c r="E35" s="49">
        <v>0</v>
      </c>
      <c r="F35" s="49">
        <v>0</v>
      </c>
      <c r="G35" s="50"/>
      <c r="H35" s="51">
        <v>10</v>
      </c>
      <c r="I35" s="51">
        <v>0</v>
      </c>
      <c r="J35" s="30">
        <v>142.1</v>
      </c>
      <c r="K35" s="30">
        <v>4.5590000000000002</v>
      </c>
      <c r="L35" s="30">
        <v>4.4000000000000004</v>
      </c>
      <c r="M35" s="30">
        <v>2.8</v>
      </c>
      <c r="N35" s="30">
        <v>2.8</v>
      </c>
      <c r="O35" s="30">
        <v>2.8</v>
      </c>
      <c r="P35" s="30">
        <v>2.8</v>
      </c>
      <c r="Q35" s="30">
        <v>2.8</v>
      </c>
      <c r="R35" s="30">
        <v>0</v>
      </c>
    </row>
    <row r="36" spans="3:18" x14ac:dyDescent="0.2">
      <c r="C36" s="1" t="s">
        <v>8</v>
      </c>
      <c r="D36" s="30">
        <v>62.7</v>
      </c>
      <c r="E36" s="30">
        <v>28.8</v>
      </c>
      <c r="F36" s="30">
        <v>2</v>
      </c>
      <c r="G36" s="30">
        <v>6.9</v>
      </c>
      <c r="H36" s="30">
        <v>3</v>
      </c>
      <c r="I36" s="30">
        <v>0.4</v>
      </c>
      <c r="J36" s="30">
        <f>5.858</f>
        <v>5.8579999999999997</v>
      </c>
      <c r="K36" s="30">
        <v>6.34</v>
      </c>
      <c r="L36" s="30">
        <v>11.6</v>
      </c>
      <c r="M36" s="30">
        <v>0.17</v>
      </c>
      <c r="N36" s="30">
        <v>0.17</v>
      </c>
      <c r="O36" s="30">
        <v>0.17</v>
      </c>
      <c r="P36" s="30">
        <v>0.17</v>
      </c>
      <c r="Q36" s="30">
        <v>0.17</v>
      </c>
      <c r="R36" s="30">
        <v>14</v>
      </c>
    </row>
    <row r="37" spans="3:18" x14ac:dyDescent="0.2">
      <c r="C37" s="20" t="s">
        <v>9</v>
      </c>
      <c r="D37" s="52">
        <v>13.7</v>
      </c>
      <c r="E37" s="52">
        <v>35</v>
      </c>
      <c r="F37" s="52">
        <v>12.6</v>
      </c>
      <c r="G37" s="52">
        <v>10.9</v>
      </c>
      <c r="H37" s="52">
        <v>8.6999999999999993</v>
      </c>
      <c r="I37" s="52">
        <v>20.100000000000001</v>
      </c>
      <c r="J37" s="52">
        <v>10.4</v>
      </c>
      <c r="K37" s="52">
        <v>10.30878</v>
      </c>
      <c r="L37" s="52">
        <v>30.7</v>
      </c>
      <c r="M37" s="52">
        <v>16.5</v>
      </c>
      <c r="N37" s="52">
        <v>16.5</v>
      </c>
      <c r="O37" s="52">
        <v>16.5</v>
      </c>
      <c r="P37" s="52">
        <v>16.5</v>
      </c>
      <c r="Q37" s="52">
        <v>16.5</v>
      </c>
      <c r="R37" s="52">
        <v>38.4</v>
      </c>
    </row>
    <row r="38" spans="3:18" x14ac:dyDescent="0.2">
      <c r="K38" s="48"/>
      <c r="L38" s="48"/>
      <c r="M38" s="48"/>
      <c r="N38" s="48"/>
      <c r="O38" s="48"/>
      <c r="P38" s="48"/>
      <c r="Q38" s="48"/>
      <c r="R38" s="48"/>
    </row>
    <row r="39" spans="3:18" x14ac:dyDescent="0.2">
      <c r="C39" s="16" t="s">
        <v>13</v>
      </c>
      <c r="H39" s="27"/>
    </row>
    <row r="40" spans="3:18" x14ac:dyDescent="0.2">
      <c r="H40" s="27"/>
    </row>
    <row r="41" spans="3:18" x14ac:dyDescent="0.2">
      <c r="D41" s="48"/>
      <c r="E41" s="48"/>
      <c r="F41" s="48"/>
      <c r="G41" s="48"/>
      <c r="H41" s="27"/>
    </row>
    <row r="42" spans="3:18" x14ac:dyDescent="0.2">
      <c r="H42" s="27"/>
    </row>
    <row r="44" spans="3:18" x14ac:dyDescent="0.2">
      <c r="H44" s="15"/>
      <c r="I44" s="27"/>
      <c r="J44" s="27"/>
      <c r="O44" s="27"/>
      <c r="P44" s="27"/>
      <c r="Q44" s="27"/>
      <c r="R44" s="7"/>
    </row>
    <row r="45" spans="3:18" x14ac:dyDescent="0.2">
      <c r="H45" s="15"/>
    </row>
    <row r="46" spans="3:18" x14ac:dyDescent="0.2">
      <c r="H46" s="15"/>
      <c r="I46" s="15"/>
      <c r="J46" s="15"/>
      <c r="O46" s="15"/>
      <c r="P46" s="15"/>
      <c r="Q46" s="15"/>
    </row>
    <row r="47" spans="3:18" x14ac:dyDescent="0.2">
      <c r="H47" s="15"/>
      <c r="I47" s="15"/>
      <c r="J47" s="15"/>
      <c r="O47" s="15"/>
      <c r="P47" s="15"/>
      <c r="Q47" s="15"/>
    </row>
    <row r="48" spans="3:18" x14ac:dyDescent="0.2">
      <c r="H48" s="15"/>
      <c r="I48" s="15"/>
      <c r="J48" s="15"/>
      <c r="O48" s="15"/>
      <c r="P48" s="15"/>
      <c r="Q48" s="15"/>
    </row>
    <row r="49" spans="3:17" x14ac:dyDescent="0.2">
      <c r="H49" s="15"/>
      <c r="I49" s="15"/>
      <c r="J49" s="15"/>
      <c r="O49" s="15"/>
      <c r="P49" s="15"/>
      <c r="Q49" s="15"/>
    </row>
    <row r="50" spans="3:17" x14ac:dyDescent="0.2"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3:17" x14ac:dyDescent="0.2"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3:17" x14ac:dyDescent="0.2">
      <c r="C52" s="16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3:17" x14ac:dyDescent="0.2">
      <c r="H53" s="29"/>
      <c r="I53" s="29"/>
      <c r="J53" s="29"/>
      <c r="K53" s="29"/>
      <c r="L53" s="29"/>
      <c r="M53" s="29"/>
      <c r="N53" s="29"/>
      <c r="O53" s="29"/>
      <c r="P53" s="29"/>
    </row>
    <row r="54" spans="3:17" ht="15" x14ac:dyDescent="0.25">
      <c r="C54" s="75"/>
      <c r="D54" s="75"/>
      <c r="E54" s="75"/>
      <c r="F54" s="75"/>
      <c r="G54" s="75"/>
      <c r="H54" s="75"/>
      <c r="I54" s="30"/>
      <c r="K54" s="15"/>
      <c r="L54" s="15"/>
      <c r="M54" s="15"/>
      <c r="N54" s="15"/>
      <c r="O54" s="15"/>
      <c r="P54" s="31"/>
    </row>
    <row r="55" spans="3:17" ht="9" customHeight="1" x14ac:dyDescent="0.2">
      <c r="C55" s="32"/>
      <c r="H55" s="25"/>
      <c r="I55" s="30"/>
      <c r="K55" s="15"/>
      <c r="L55" s="15"/>
      <c r="M55" s="15"/>
      <c r="N55" s="15"/>
      <c r="O55" s="15"/>
      <c r="P55" s="31"/>
    </row>
    <row r="56" spans="3:17" x14ac:dyDescent="0.2">
      <c r="H56" s="25"/>
      <c r="I56" s="30"/>
      <c r="K56" s="15"/>
      <c r="L56" s="15"/>
      <c r="M56" s="15"/>
      <c r="N56" s="15"/>
      <c r="O56" s="15"/>
      <c r="P56" s="31"/>
    </row>
    <row r="57" spans="3:17" x14ac:dyDescent="0.2">
      <c r="H57" s="25"/>
      <c r="I57" s="30"/>
      <c r="K57" s="15"/>
      <c r="L57" s="15"/>
      <c r="M57" s="15"/>
      <c r="N57" s="15"/>
      <c r="O57" s="15"/>
      <c r="P57" s="31"/>
    </row>
    <row r="58" spans="3:17" x14ac:dyDescent="0.2">
      <c r="H58" s="25"/>
      <c r="I58" s="30"/>
      <c r="K58" s="15"/>
      <c r="L58" s="15"/>
      <c r="M58" s="15"/>
      <c r="N58" s="15"/>
      <c r="O58" s="15"/>
      <c r="P58" s="31"/>
    </row>
    <row r="59" spans="3:17" x14ac:dyDescent="0.2">
      <c r="H59" s="25"/>
      <c r="I59" s="30"/>
      <c r="K59" s="33"/>
      <c r="L59" s="15"/>
      <c r="M59" s="15"/>
      <c r="N59" s="15"/>
      <c r="O59" s="15"/>
      <c r="P59" s="31"/>
    </row>
    <row r="60" spans="3:17" x14ac:dyDescent="0.2">
      <c r="O60" s="15"/>
    </row>
  </sheetData>
  <mergeCells count="5">
    <mergeCell ref="C54:H54"/>
    <mergeCell ref="D6:G7"/>
    <mergeCell ref="D23:G24"/>
    <mergeCell ref="K7:R7"/>
    <mergeCell ref="K23:R23"/>
  </mergeCells>
  <pageMargins left="0.7" right="0.7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U57"/>
  <sheetViews>
    <sheetView showWhiteSpace="0" topLeftCell="B1" zoomScaleNormal="100" zoomScaleSheetLayoutView="100" workbookViewId="0">
      <selection activeCell="J3" sqref="J3"/>
    </sheetView>
  </sheetViews>
  <sheetFormatPr defaultColWidth="12.28515625" defaultRowHeight="12.75" x14ac:dyDescent="0.2"/>
  <cols>
    <col min="1" max="1" width="0" style="1" hidden="1" customWidth="1"/>
    <col min="2" max="2" width="23.140625" style="1" customWidth="1"/>
    <col min="3" max="4" width="12.28515625" style="1" hidden="1" customWidth="1"/>
    <col min="5" max="5" width="12.7109375" style="1" hidden="1" customWidth="1"/>
    <col min="6" max="6" width="12.42578125" style="1" hidden="1" customWidth="1"/>
    <col min="7" max="8" width="11.5703125" style="1" hidden="1" customWidth="1"/>
    <col min="9" max="9" width="15.28515625" style="1" hidden="1" customWidth="1"/>
    <col min="10" max="11" width="9.42578125" style="1" customWidth="1"/>
    <col min="12" max="12" width="9.28515625" style="1" customWidth="1"/>
    <col min="13" max="13" width="9.140625" style="1" customWidth="1"/>
    <col min="14" max="14" width="12" style="1" customWidth="1"/>
    <col min="15" max="17" width="0" style="1" hidden="1" customWidth="1"/>
    <col min="1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2" spans="2:17" x14ac:dyDescent="0.2">
      <c r="L2" s="2" t="s">
        <v>47</v>
      </c>
    </row>
    <row r="4" spans="2:17" x14ac:dyDescent="0.2">
      <c r="C4" s="3"/>
      <c r="D4" s="3"/>
      <c r="E4" s="3"/>
      <c r="F4" s="3"/>
      <c r="G4" s="3"/>
      <c r="H4" s="4" t="s">
        <v>39</v>
      </c>
    </row>
    <row r="7" spans="2:17" ht="12.75" customHeight="1" x14ac:dyDescent="0.2">
      <c r="B7" s="77" t="s">
        <v>35</v>
      </c>
      <c r="C7" s="78" t="s">
        <v>54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7" ht="12.75" customHeight="1" x14ac:dyDescent="0.2">
      <c r="B8" s="7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7" ht="12.75" customHeight="1" x14ac:dyDescent="0.2">
      <c r="B9" s="5"/>
      <c r="C9" s="6"/>
      <c r="D9" s="6"/>
      <c r="E9" s="6"/>
      <c r="F9" s="6"/>
      <c r="G9" s="6"/>
      <c r="H9" s="6"/>
    </row>
    <row r="10" spans="2:17" x14ac:dyDescent="0.2">
      <c r="B10" s="8" t="s">
        <v>0</v>
      </c>
      <c r="C10" s="9">
        <v>2007</v>
      </c>
      <c r="D10" s="9">
        <v>2008</v>
      </c>
      <c r="E10" s="9">
        <v>2009</v>
      </c>
      <c r="F10" s="9">
        <v>2010</v>
      </c>
      <c r="G10" s="10">
        <v>2011</v>
      </c>
      <c r="H10" s="10">
        <v>2012</v>
      </c>
      <c r="I10" s="10">
        <v>2013</v>
      </c>
      <c r="J10" s="10">
        <v>2014</v>
      </c>
      <c r="K10" s="10">
        <v>2015</v>
      </c>
      <c r="L10" s="10">
        <v>2016</v>
      </c>
      <c r="M10" s="10">
        <v>2017</v>
      </c>
      <c r="N10" s="10">
        <v>2018</v>
      </c>
    </row>
    <row r="11" spans="2:17" x14ac:dyDescent="0.2">
      <c r="B11" s="11"/>
      <c r="C11" s="12"/>
      <c r="D11" s="12"/>
      <c r="E11" s="12"/>
      <c r="F11" s="12"/>
    </row>
    <row r="12" spans="2:17" x14ac:dyDescent="0.2">
      <c r="B12" s="13" t="s">
        <v>1</v>
      </c>
      <c r="C12" s="14">
        <v>494</v>
      </c>
      <c r="D12" s="14">
        <v>534</v>
      </c>
      <c r="E12" s="14">
        <v>540</v>
      </c>
      <c r="F12" s="14">
        <v>613</v>
      </c>
      <c r="G12" s="14">
        <v>391</v>
      </c>
      <c r="H12" s="14">
        <f t="shared" ref="H12:M12" si="0">SUM(H14:H20)</f>
        <v>393</v>
      </c>
      <c r="I12" s="14">
        <f t="shared" si="0"/>
        <v>315</v>
      </c>
      <c r="J12" s="14">
        <f t="shared" si="0"/>
        <v>338</v>
      </c>
      <c r="K12" s="14">
        <f t="shared" si="0"/>
        <v>298</v>
      </c>
      <c r="L12" s="14">
        <f t="shared" si="0"/>
        <v>324</v>
      </c>
      <c r="M12" s="14">
        <f t="shared" si="0"/>
        <v>341</v>
      </c>
      <c r="N12" s="14">
        <f>SUM(N14:N20)</f>
        <v>368</v>
      </c>
    </row>
    <row r="14" spans="2:17" x14ac:dyDescent="0.2">
      <c r="B14" s="1" t="s">
        <v>34</v>
      </c>
      <c r="C14" s="15">
        <v>240</v>
      </c>
      <c r="D14" s="15">
        <v>283</v>
      </c>
      <c r="E14" s="15">
        <v>305</v>
      </c>
      <c r="F14" s="15">
        <v>308</v>
      </c>
      <c r="G14" s="15">
        <v>212</v>
      </c>
      <c r="H14" s="15">
        <v>245</v>
      </c>
      <c r="I14" s="15">
        <v>176</v>
      </c>
      <c r="J14" s="15">
        <v>218</v>
      </c>
      <c r="K14" s="15">
        <v>171</v>
      </c>
      <c r="L14" s="15">
        <v>174</v>
      </c>
      <c r="M14" s="15">
        <v>207</v>
      </c>
      <c r="N14" s="15">
        <v>194</v>
      </c>
    </row>
    <row r="15" spans="2:17" x14ac:dyDescent="0.2">
      <c r="B15" s="16" t="s">
        <v>11</v>
      </c>
      <c r="C15" s="15">
        <v>144</v>
      </c>
      <c r="D15" s="15">
        <v>120</v>
      </c>
      <c r="E15" s="15">
        <v>98</v>
      </c>
      <c r="F15" s="15">
        <v>92</v>
      </c>
      <c r="G15" s="15">
        <v>44</v>
      </c>
      <c r="H15" s="15">
        <v>45</v>
      </c>
      <c r="I15" s="15">
        <v>47</v>
      </c>
      <c r="J15" s="15">
        <v>26</v>
      </c>
      <c r="K15" s="15">
        <v>45</v>
      </c>
      <c r="L15" s="15">
        <v>51</v>
      </c>
      <c r="M15" s="15">
        <v>39</v>
      </c>
      <c r="N15" s="15">
        <v>75</v>
      </c>
    </row>
    <row r="16" spans="2:17" x14ac:dyDescent="0.2">
      <c r="B16" s="1" t="s">
        <v>3</v>
      </c>
      <c r="C16" s="15">
        <v>78</v>
      </c>
      <c r="D16" s="15">
        <v>108</v>
      </c>
      <c r="E16" s="15">
        <v>100</v>
      </c>
      <c r="F16" s="15">
        <v>93</v>
      </c>
      <c r="G16" s="15">
        <v>78</v>
      </c>
      <c r="H16" s="15">
        <v>70</v>
      </c>
      <c r="I16" s="15">
        <v>68</v>
      </c>
      <c r="J16" s="15">
        <v>65</v>
      </c>
      <c r="K16" s="15">
        <v>62</v>
      </c>
      <c r="L16" s="15">
        <v>58</v>
      </c>
      <c r="M16" s="15">
        <v>68</v>
      </c>
      <c r="N16" s="15">
        <v>66</v>
      </c>
      <c r="O16" s="1">
        <v>1999</v>
      </c>
      <c r="P16" s="15">
        <v>1214</v>
      </c>
      <c r="Q16" s="15">
        <v>393420</v>
      </c>
    </row>
    <row r="17" spans="2:17" x14ac:dyDescent="0.2">
      <c r="B17" s="1" t="s">
        <v>4</v>
      </c>
      <c r="C17" s="15">
        <v>23</v>
      </c>
      <c r="D17" s="15">
        <v>4</v>
      </c>
      <c r="E17" s="15">
        <v>5</v>
      </c>
      <c r="F17" s="15">
        <v>3</v>
      </c>
      <c r="G17" s="15">
        <v>5</v>
      </c>
      <c r="H17" s="15">
        <v>2</v>
      </c>
      <c r="I17" s="15">
        <v>3</v>
      </c>
      <c r="J17" s="15">
        <v>3</v>
      </c>
      <c r="K17" s="15">
        <v>0</v>
      </c>
      <c r="L17" s="15">
        <v>8</v>
      </c>
      <c r="M17" s="15">
        <v>1</v>
      </c>
      <c r="N17" s="15">
        <v>7</v>
      </c>
      <c r="P17" s="15"/>
      <c r="Q17" s="15"/>
    </row>
    <row r="18" spans="2:17" x14ac:dyDescent="0.2">
      <c r="B18" s="17" t="s">
        <v>5</v>
      </c>
      <c r="C18" s="15">
        <v>1</v>
      </c>
      <c r="D18" s="18" t="s">
        <v>19</v>
      </c>
      <c r="E18" s="38">
        <v>1</v>
      </c>
      <c r="F18" s="18" t="s">
        <v>19</v>
      </c>
      <c r="G18" s="15">
        <v>0</v>
      </c>
      <c r="H18" s="15">
        <v>0</v>
      </c>
      <c r="I18" s="15">
        <v>0</v>
      </c>
      <c r="J18" s="15">
        <v>1</v>
      </c>
      <c r="K18" s="15">
        <v>1</v>
      </c>
      <c r="L18" s="15">
        <v>11</v>
      </c>
      <c r="M18" s="15">
        <v>8</v>
      </c>
      <c r="N18" s="15">
        <v>2</v>
      </c>
      <c r="O18" s="4"/>
      <c r="P18" s="4" t="s">
        <v>6</v>
      </c>
      <c r="Q18" s="4" t="s">
        <v>7</v>
      </c>
    </row>
    <row r="19" spans="2:17" x14ac:dyDescent="0.2">
      <c r="B19" s="7" t="s">
        <v>8</v>
      </c>
      <c r="C19" s="19">
        <v>1</v>
      </c>
      <c r="D19" s="19">
        <v>3</v>
      </c>
      <c r="E19" s="19">
        <v>2</v>
      </c>
      <c r="F19" s="19">
        <v>10</v>
      </c>
      <c r="G19" s="19">
        <v>5</v>
      </c>
      <c r="H19" s="19">
        <v>7</v>
      </c>
      <c r="I19" s="19">
        <v>5</v>
      </c>
      <c r="J19" s="19">
        <v>2</v>
      </c>
      <c r="K19" s="19">
        <v>3</v>
      </c>
      <c r="L19" s="19">
        <v>2</v>
      </c>
      <c r="M19" s="19">
        <v>5</v>
      </c>
      <c r="N19" s="19">
        <v>5</v>
      </c>
      <c r="O19" s="1">
        <v>2000</v>
      </c>
      <c r="P19" s="15">
        <v>1048</v>
      </c>
      <c r="Q19" s="15">
        <v>310138</v>
      </c>
    </row>
    <row r="20" spans="2:17" x14ac:dyDescent="0.2">
      <c r="B20" s="20" t="s">
        <v>9</v>
      </c>
      <c r="C20" s="21">
        <v>7</v>
      </c>
      <c r="D20" s="21">
        <v>16</v>
      </c>
      <c r="E20" s="21">
        <v>29</v>
      </c>
      <c r="F20" s="21">
        <v>107</v>
      </c>
      <c r="G20" s="21">
        <v>47</v>
      </c>
      <c r="H20" s="21">
        <v>24</v>
      </c>
      <c r="I20" s="21">
        <v>16</v>
      </c>
      <c r="J20" s="21">
        <v>23</v>
      </c>
      <c r="K20" s="21">
        <v>16</v>
      </c>
      <c r="L20" s="21">
        <v>20</v>
      </c>
      <c r="M20" s="21">
        <v>13</v>
      </c>
      <c r="N20" s="21">
        <v>19</v>
      </c>
      <c r="O20" s="1">
        <v>2001</v>
      </c>
      <c r="P20" s="15">
        <v>896</v>
      </c>
      <c r="Q20" s="15">
        <v>149102</v>
      </c>
    </row>
    <row r="21" spans="2:17" s="7" customFormat="1" x14ac:dyDescent="0.2">
      <c r="B21" s="2"/>
      <c r="C21" s="22"/>
      <c r="D21" s="22"/>
      <c r="E21" s="22"/>
      <c r="F21" s="22"/>
      <c r="G21" s="1"/>
      <c r="H21" s="1"/>
      <c r="O21" s="7">
        <v>2004</v>
      </c>
      <c r="P21" s="19">
        <v>973</v>
      </c>
      <c r="Q21" s="19">
        <v>465309</v>
      </c>
    </row>
    <row r="22" spans="2:17" x14ac:dyDescent="0.2">
      <c r="O22" s="1">
        <v>2006</v>
      </c>
      <c r="P22" s="15">
        <v>1248</v>
      </c>
      <c r="Q22" s="15">
        <v>620962</v>
      </c>
    </row>
    <row r="23" spans="2:17" ht="12.75" customHeight="1" x14ac:dyDescent="0.2">
      <c r="B23" s="77" t="s">
        <v>36</v>
      </c>
      <c r="C23" s="79" t="s">
        <v>55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">
        <v>2007</v>
      </c>
      <c r="P23" s="15">
        <v>1123</v>
      </c>
      <c r="Q23" s="15">
        <v>468900</v>
      </c>
    </row>
    <row r="24" spans="2:17" x14ac:dyDescent="0.2">
      <c r="B24" s="77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1">
        <v>2008</v>
      </c>
      <c r="P24" s="15">
        <v>1168</v>
      </c>
      <c r="Q24" s="15">
        <v>480855</v>
      </c>
    </row>
    <row r="25" spans="2:17" x14ac:dyDescent="0.2">
      <c r="I25" s="23"/>
      <c r="J25" s="23"/>
      <c r="K25" s="23"/>
      <c r="L25" s="23"/>
      <c r="M25" s="23"/>
      <c r="N25" s="23" t="s">
        <v>10</v>
      </c>
      <c r="O25" s="1">
        <v>2009</v>
      </c>
      <c r="P25" s="15">
        <v>1122</v>
      </c>
      <c r="Q25" s="53">
        <v>421425</v>
      </c>
    </row>
    <row r="26" spans="2:17" x14ac:dyDescent="0.2">
      <c r="B26" s="8" t="s">
        <v>0</v>
      </c>
      <c r="C26" s="9">
        <f>C10</f>
        <v>2007</v>
      </c>
      <c r="D26" s="9">
        <f>D10</f>
        <v>2008</v>
      </c>
      <c r="E26" s="9">
        <f>E10</f>
        <v>2009</v>
      </c>
      <c r="F26" s="9">
        <f>F10</f>
        <v>2010</v>
      </c>
      <c r="G26" s="10">
        <v>2011</v>
      </c>
      <c r="H26" s="10">
        <v>2012</v>
      </c>
      <c r="I26" s="10">
        <v>2013</v>
      </c>
      <c r="J26" s="10">
        <v>2014</v>
      </c>
      <c r="K26" s="10">
        <v>2015</v>
      </c>
      <c r="L26" s="10">
        <v>2016</v>
      </c>
      <c r="M26" s="10">
        <v>2017</v>
      </c>
      <c r="N26" s="10">
        <v>2018</v>
      </c>
      <c r="O26" s="1">
        <v>2010</v>
      </c>
      <c r="P26" s="15">
        <f>F12</f>
        <v>613</v>
      </c>
      <c r="Q26" s="53">
        <f>F28</f>
        <v>145439.82264</v>
      </c>
    </row>
    <row r="27" spans="2:17" ht="12.75" customHeight="1" x14ac:dyDescent="0.2">
      <c r="B27" s="11"/>
      <c r="C27" s="12"/>
      <c r="D27" s="12"/>
      <c r="E27" s="12"/>
      <c r="F27" s="12"/>
      <c r="J27" s="22"/>
      <c r="K27" s="22"/>
      <c r="L27" s="22"/>
      <c r="M27" s="22"/>
      <c r="N27" s="22"/>
      <c r="O27" s="1">
        <v>2011</v>
      </c>
      <c r="P27" s="15">
        <f>G12</f>
        <v>391</v>
      </c>
      <c r="Q27" s="54">
        <f>G28</f>
        <v>150516.83497999999</v>
      </c>
    </row>
    <row r="28" spans="2:17" ht="13.5" customHeight="1" x14ac:dyDescent="0.2">
      <c r="B28" s="2" t="s">
        <v>1</v>
      </c>
      <c r="C28" s="22">
        <v>176700</v>
      </c>
      <c r="D28" s="22">
        <v>222645.80115999997</v>
      </c>
      <c r="E28" s="22">
        <v>279573.63548</v>
      </c>
      <c r="F28" s="22">
        <v>145439.82264</v>
      </c>
      <c r="G28" s="22">
        <v>150516.83497999999</v>
      </c>
      <c r="H28" s="22">
        <v>125254</v>
      </c>
      <c r="I28" s="22">
        <v>118754.38455</v>
      </c>
      <c r="J28" s="22">
        <f>SUM(J30:J36)</f>
        <v>171761.9362</v>
      </c>
      <c r="K28" s="22">
        <f>SUM(K30:K36)</f>
        <v>132934.01</v>
      </c>
      <c r="L28" s="22">
        <f>SUM(L30:L36)</f>
        <v>123727</v>
      </c>
      <c r="M28" s="22">
        <f>SUM(M30:M36)</f>
        <v>117390</v>
      </c>
      <c r="N28" s="22">
        <f>SUM(N30:N36)</f>
        <v>169170</v>
      </c>
    </row>
    <row r="29" spans="2:17" x14ac:dyDescent="0.2">
      <c r="N29" s="25"/>
    </row>
    <row r="30" spans="2:17" x14ac:dyDescent="0.2">
      <c r="B30" s="1" t="s">
        <v>34</v>
      </c>
      <c r="C30" s="15">
        <v>55500</v>
      </c>
      <c r="D30" s="15">
        <v>63103.408329999998</v>
      </c>
      <c r="E30" s="15">
        <v>77842.524069999999</v>
      </c>
      <c r="F30" s="15">
        <v>67026.829419999995</v>
      </c>
      <c r="G30" s="15">
        <v>57097.023450000001</v>
      </c>
      <c r="H30" s="15">
        <v>53035</v>
      </c>
      <c r="I30" s="15">
        <v>52878.343500000003</v>
      </c>
      <c r="J30" s="15">
        <f>85.81352115*1000</f>
        <v>85813.52115</v>
      </c>
      <c r="K30" s="15">
        <f>71.54489*1000</f>
        <v>71544.89</v>
      </c>
      <c r="L30" s="15">
        <v>64662</v>
      </c>
      <c r="M30" s="15">
        <v>72527</v>
      </c>
      <c r="N30" s="15">
        <v>77317</v>
      </c>
    </row>
    <row r="31" spans="2:17" x14ac:dyDescent="0.2">
      <c r="B31" s="1" t="s">
        <v>11</v>
      </c>
      <c r="C31" s="15">
        <v>60900</v>
      </c>
      <c r="D31" s="15">
        <v>87049.678889999996</v>
      </c>
      <c r="E31" s="15">
        <v>100362.90254</v>
      </c>
      <c r="F31" s="15">
        <v>43388.898019999993</v>
      </c>
      <c r="G31" s="15">
        <v>19161.848579999998</v>
      </c>
      <c r="H31" s="15">
        <v>16432</v>
      </c>
      <c r="I31" s="15">
        <v>37292.836050000005</v>
      </c>
      <c r="J31" s="15">
        <f>43.63014505*1000</f>
        <v>43630.145050000006</v>
      </c>
      <c r="K31" s="15">
        <f>22.9165*1000</f>
        <v>22916.5</v>
      </c>
      <c r="L31" s="15">
        <v>33914</v>
      </c>
      <c r="M31" s="15">
        <v>16401</v>
      </c>
      <c r="N31" s="15">
        <v>59514</v>
      </c>
    </row>
    <row r="32" spans="2:17" x14ac:dyDescent="0.2">
      <c r="B32" s="1" t="s">
        <v>3</v>
      </c>
      <c r="C32" s="15">
        <v>32500</v>
      </c>
      <c r="D32" s="15">
        <v>60164.288540000001</v>
      </c>
      <c r="E32" s="15">
        <v>73519.907719999988</v>
      </c>
      <c r="F32" s="15">
        <v>26733.623199999998</v>
      </c>
      <c r="G32" s="15">
        <v>20016.760600000001</v>
      </c>
      <c r="H32" s="15">
        <v>52808</v>
      </c>
      <c r="I32" s="15">
        <v>11755.605</v>
      </c>
      <c r="J32" s="15">
        <f>29.72483*1000</f>
        <v>29724.83</v>
      </c>
      <c r="K32" s="15">
        <f>23.07262*1000</f>
        <v>23072.62</v>
      </c>
      <c r="L32" s="15">
        <v>14238</v>
      </c>
      <c r="M32" s="15">
        <v>13467</v>
      </c>
      <c r="N32" s="15">
        <v>21906</v>
      </c>
    </row>
    <row r="33" spans="2:21" x14ac:dyDescent="0.2">
      <c r="B33" s="1" t="s">
        <v>4</v>
      </c>
      <c r="C33" s="15">
        <v>6800</v>
      </c>
      <c r="D33" s="15">
        <v>2949.4653999999996</v>
      </c>
      <c r="E33" s="15">
        <v>3554.1502700000001</v>
      </c>
      <c r="F33" s="15">
        <v>1600</v>
      </c>
      <c r="G33" s="15">
        <v>201.4888</v>
      </c>
      <c r="H33" s="15">
        <v>1019</v>
      </c>
      <c r="I33" s="15">
        <v>1600</v>
      </c>
      <c r="J33" s="15">
        <v>640</v>
      </c>
      <c r="K33" s="15">
        <v>0</v>
      </c>
      <c r="L33" s="15">
        <v>4595</v>
      </c>
      <c r="M33" s="15">
        <v>0</v>
      </c>
      <c r="N33" s="15">
        <v>2477</v>
      </c>
    </row>
    <row r="34" spans="2:21" x14ac:dyDescent="0.2">
      <c r="B34" s="1" t="s">
        <v>5</v>
      </c>
      <c r="C34" s="37" t="s">
        <v>19</v>
      </c>
      <c r="D34" s="18" t="s">
        <v>19</v>
      </c>
      <c r="E34" s="18" t="s">
        <v>19</v>
      </c>
      <c r="F34" s="18" t="s">
        <v>19</v>
      </c>
      <c r="G34" s="24">
        <v>0</v>
      </c>
      <c r="H34" s="24">
        <v>0</v>
      </c>
      <c r="I34" s="15">
        <v>0</v>
      </c>
      <c r="J34" s="15">
        <f>1*1000</f>
        <v>1000</v>
      </c>
      <c r="K34" s="15">
        <f>10*1000</f>
        <v>10000</v>
      </c>
      <c r="L34" s="15">
        <v>5379</v>
      </c>
      <c r="M34" s="15">
        <v>2260</v>
      </c>
      <c r="N34" s="15">
        <v>3650</v>
      </c>
    </row>
    <row r="35" spans="2:21" x14ac:dyDescent="0.2">
      <c r="B35" s="1" t="s">
        <v>8</v>
      </c>
      <c r="C35" s="37" t="s">
        <v>19</v>
      </c>
      <c r="D35" s="37">
        <v>950</v>
      </c>
      <c r="E35" s="37" t="s">
        <v>19</v>
      </c>
      <c r="F35" s="37">
        <v>1592</v>
      </c>
      <c r="G35" s="37">
        <v>50616</v>
      </c>
      <c r="H35" s="37">
        <v>400</v>
      </c>
      <c r="I35" s="15">
        <v>8427.6</v>
      </c>
      <c r="J35" s="15">
        <f>1.7*1000</f>
        <v>1700</v>
      </c>
      <c r="K35" s="15">
        <f>0.75*1000</f>
        <v>750</v>
      </c>
      <c r="L35" s="15">
        <v>470</v>
      </c>
      <c r="M35" s="15">
        <v>9536</v>
      </c>
      <c r="N35" s="15">
        <v>500</v>
      </c>
    </row>
    <row r="36" spans="2:21" ht="12.75" customHeight="1" x14ac:dyDescent="0.2">
      <c r="B36" s="20" t="s">
        <v>9</v>
      </c>
      <c r="C36" s="21">
        <v>21000</v>
      </c>
      <c r="D36" s="21">
        <v>8428.9599999999991</v>
      </c>
      <c r="E36" s="21">
        <v>24294.150880000005</v>
      </c>
      <c r="F36" s="21">
        <v>5098.4719999999998</v>
      </c>
      <c r="G36" s="21">
        <v>3423.7135499999999</v>
      </c>
      <c r="H36" s="21">
        <v>1560</v>
      </c>
      <c r="I36" s="21">
        <v>6800</v>
      </c>
      <c r="J36" s="21">
        <f>9.25344*1000</f>
        <v>9253.4399999999987</v>
      </c>
      <c r="K36" s="21">
        <f>4.65*1000</f>
        <v>4650</v>
      </c>
      <c r="L36" s="21">
        <v>469</v>
      </c>
      <c r="M36" s="21">
        <v>3199</v>
      </c>
      <c r="N36" s="55">
        <v>3806</v>
      </c>
    </row>
    <row r="38" spans="2:21" x14ac:dyDescent="0.2">
      <c r="B38" s="16" t="s">
        <v>13</v>
      </c>
      <c r="H38" s="27"/>
    </row>
    <row r="39" spans="2:21" x14ac:dyDescent="0.2">
      <c r="H39" s="27"/>
    </row>
    <row r="40" spans="2:21" x14ac:dyDescent="0.2">
      <c r="H40" s="27"/>
    </row>
    <row r="41" spans="2:21" x14ac:dyDescent="0.2">
      <c r="H41" s="27"/>
    </row>
    <row r="42" spans="2:21" x14ac:dyDescent="0.2">
      <c r="O42" s="27"/>
      <c r="P42" s="27"/>
      <c r="Q42" s="27"/>
    </row>
    <row r="43" spans="2:21" x14ac:dyDescent="0.2">
      <c r="H43" s="15"/>
      <c r="I43" s="27"/>
      <c r="J43" s="27"/>
      <c r="K43" s="27"/>
      <c r="L43" s="27"/>
      <c r="M43" s="27"/>
      <c r="N43" s="27"/>
      <c r="R43" s="27"/>
      <c r="S43" s="27"/>
      <c r="T43" s="27"/>
      <c r="U43" s="7"/>
    </row>
    <row r="44" spans="2:21" x14ac:dyDescent="0.2">
      <c r="H44" s="15"/>
      <c r="O44" s="15"/>
      <c r="P44" s="15"/>
      <c r="Q44" s="15"/>
    </row>
    <row r="45" spans="2:21" x14ac:dyDescent="0.2"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2:21" x14ac:dyDescent="0.2"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2:21" x14ac:dyDescent="0.2"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2:21" x14ac:dyDescent="0.2"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2:20" x14ac:dyDescent="0.2"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2:20" x14ac:dyDescent="0.2"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2:20" x14ac:dyDescent="0.2">
      <c r="B51" s="1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2:20" x14ac:dyDescent="0.2"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2:20" x14ac:dyDescent="0.2">
      <c r="H53" s="25"/>
      <c r="I53" s="30"/>
      <c r="J53" s="30"/>
      <c r="K53" s="30"/>
      <c r="L53" s="30"/>
      <c r="M53" s="30"/>
      <c r="N53" s="30"/>
      <c r="O53" s="15"/>
      <c r="P53" s="15"/>
      <c r="Q53" s="15"/>
      <c r="R53" s="15"/>
      <c r="S53" s="31"/>
    </row>
    <row r="54" spans="2:20" x14ac:dyDescent="0.2">
      <c r="H54" s="25"/>
      <c r="I54" s="30"/>
      <c r="J54" s="30"/>
      <c r="K54" s="30"/>
      <c r="L54" s="30"/>
      <c r="M54" s="30"/>
      <c r="N54" s="30"/>
      <c r="O54" s="15"/>
      <c r="P54" s="15"/>
      <c r="Q54" s="15"/>
      <c r="R54" s="15"/>
      <c r="S54" s="31"/>
    </row>
    <row r="55" spans="2:20" x14ac:dyDescent="0.2">
      <c r="H55" s="25"/>
      <c r="I55" s="30"/>
      <c r="J55" s="30"/>
      <c r="K55" s="30"/>
      <c r="L55" s="30"/>
      <c r="M55" s="30"/>
      <c r="N55" s="30"/>
      <c r="O55" s="15"/>
      <c r="P55" s="15"/>
      <c r="Q55" s="15"/>
      <c r="R55" s="15"/>
      <c r="S55" s="31"/>
    </row>
    <row r="56" spans="2:20" x14ac:dyDescent="0.2">
      <c r="H56" s="25"/>
      <c r="I56" s="30"/>
      <c r="J56" s="30"/>
      <c r="K56" s="30"/>
      <c r="L56" s="30"/>
      <c r="M56" s="30"/>
      <c r="N56" s="30"/>
      <c r="O56" s="33"/>
      <c r="P56" s="15"/>
      <c r="Q56" s="15"/>
      <c r="R56" s="15"/>
      <c r="S56" s="31"/>
    </row>
    <row r="57" spans="2:20" x14ac:dyDescent="0.2">
      <c r="R57" s="15"/>
    </row>
  </sheetData>
  <mergeCells count="4">
    <mergeCell ref="B7:B8"/>
    <mergeCell ref="B23:B24"/>
    <mergeCell ref="C7:N8"/>
    <mergeCell ref="C23:N24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28575</xdr:rowOff>
              </from>
              <to>
                <xdr:col>1</xdr:col>
                <xdr:colOff>895350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S55"/>
  <sheetViews>
    <sheetView zoomScaleNormal="100" zoomScaleSheetLayoutView="100" workbookViewId="0">
      <selection activeCell="AU20" sqref="AU20"/>
    </sheetView>
  </sheetViews>
  <sheetFormatPr defaultRowHeight="12.75" outlineLevelCol="2" x14ac:dyDescent="0.2"/>
  <cols>
    <col min="1" max="1" width="7" style="1" customWidth="1"/>
    <col min="2" max="2" width="6" style="1" customWidth="1"/>
    <col min="3" max="3" width="33.140625" style="1" customWidth="1"/>
    <col min="4" max="4" width="0.140625" style="1" hidden="1" customWidth="1" outlineLevel="1"/>
    <col min="5" max="12" width="9.140625" style="1" hidden="1" customWidth="1" outlineLevel="2"/>
    <col min="13" max="15" width="9.140625" style="1" hidden="1" customWidth="1" outlineLevel="1"/>
    <col min="16" max="17" width="8.28515625" style="1" hidden="1" customWidth="1"/>
    <col min="18" max="19" width="8.7109375" style="1" hidden="1" customWidth="1"/>
    <col min="20" max="20" width="6.7109375" style="1" hidden="1" customWidth="1"/>
    <col min="21" max="22" width="6.5703125" style="1" hidden="1" customWidth="1"/>
    <col min="23" max="23" width="6.7109375" style="1" hidden="1" customWidth="1"/>
    <col min="24" max="24" width="7" style="1" hidden="1" customWidth="1"/>
    <col min="25" max="28" width="6.7109375" style="1" hidden="1" customWidth="1"/>
    <col min="29" max="29" width="6.85546875" style="1" hidden="1" customWidth="1"/>
    <col min="30" max="30" width="7.140625" style="1" hidden="1" customWidth="1"/>
    <col min="31" max="32" width="12.28515625" style="1" hidden="1" customWidth="1"/>
    <col min="33" max="37" width="10.85546875" style="1" hidden="1" customWidth="1"/>
    <col min="38" max="38" width="8" style="1" hidden="1" customWidth="1"/>
    <col min="39" max="39" width="9.140625" style="1" customWidth="1"/>
    <col min="40" max="40" width="10.28515625" style="1" hidden="1" customWidth="1"/>
    <col min="41" max="41" width="8.5703125" style="1" customWidth="1"/>
    <col min="42" max="44" width="9.140625" style="1"/>
    <col min="45" max="45" width="9.140625" style="1" customWidth="1"/>
    <col min="46" max="257" width="9.140625" style="1"/>
    <col min="258" max="258" width="33.140625" style="1" customWidth="1"/>
    <col min="259" max="287" width="0" style="1" hidden="1" customWidth="1"/>
    <col min="288" max="292" width="10.85546875" style="1" customWidth="1"/>
    <col min="293" max="293" width="10" style="1" bestFit="1" customWidth="1"/>
    <col min="294" max="513" width="9.140625" style="1"/>
    <col min="514" max="514" width="33.140625" style="1" customWidth="1"/>
    <col min="515" max="543" width="0" style="1" hidden="1" customWidth="1"/>
    <col min="544" max="548" width="10.85546875" style="1" customWidth="1"/>
    <col min="549" max="549" width="10" style="1" bestFit="1" customWidth="1"/>
    <col min="550" max="769" width="9.140625" style="1"/>
    <col min="770" max="770" width="33.140625" style="1" customWidth="1"/>
    <col min="771" max="799" width="0" style="1" hidden="1" customWidth="1"/>
    <col min="800" max="804" width="10.85546875" style="1" customWidth="1"/>
    <col min="805" max="805" width="10" style="1" bestFit="1" customWidth="1"/>
    <col min="806" max="1025" width="9.140625" style="1"/>
    <col min="1026" max="1026" width="33.140625" style="1" customWidth="1"/>
    <col min="1027" max="1055" width="0" style="1" hidden="1" customWidth="1"/>
    <col min="1056" max="1060" width="10.85546875" style="1" customWidth="1"/>
    <col min="1061" max="1061" width="10" style="1" bestFit="1" customWidth="1"/>
    <col min="1062" max="1281" width="9.140625" style="1"/>
    <col min="1282" max="1282" width="33.140625" style="1" customWidth="1"/>
    <col min="1283" max="1311" width="0" style="1" hidden="1" customWidth="1"/>
    <col min="1312" max="1316" width="10.85546875" style="1" customWidth="1"/>
    <col min="1317" max="1317" width="10" style="1" bestFit="1" customWidth="1"/>
    <col min="1318" max="1537" width="9.140625" style="1"/>
    <col min="1538" max="1538" width="33.140625" style="1" customWidth="1"/>
    <col min="1539" max="1567" width="0" style="1" hidden="1" customWidth="1"/>
    <col min="1568" max="1572" width="10.85546875" style="1" customWidth="1"/>
    <col min="1573" max="1573" width="10" style="1" bestFit="1" customWidth="1"/>
    <col min="1574" max="1793" width="9.140625" style="1"/>
    <col min="1794" max="1794" width="33.140625" style="1" customWidth="1"/>
    <col min="1795" max="1823" width="0" style="1" hidden="1" customWidth="1"/>
    <col min="1824" max="1828" width="10.85546875" style="1" customWidth="1"/>
    <col min="1829" max="1829" width="10" style="1" bestFit="1" customWidth="1"/>
    <col min="1830" max="2049" width="9.140625" style="1"/>
    <col min="2050" max="2050" width="33.140625" style="1" customWidth="1"/>
    <col min="2051" max="2079" width="0" style="1" hidden="1" customWidth="1"/>
    <col min="2080" max="2084" width="10.85546875" style="1" customWidth="1"/>
    <col min="2085" max="2085" width="10" style="1" bestFit="1" customWidth="1"/>
    <col min="2086" max="2305" width="9.140625" style="1"/>
    <col min="2306" max="2306" width="33.140625" style="1" customWidth="1"/>
    <col min="2307" max="2335" width="0" style="1" hidden="1" customWidth="1"/>
    <col min="2336" max="2340" width="10.85546875" style="1" customWidth="1"/>
    <col min="2341" max="2341" width="10" style="1" bestFit="1" customWidth="1"/>
    <col min="2342" max="2561" width="9.140625" style="1"/>
    <col min="2562" max="2562" width="33.140625" style="1" customWidth="1"/>
    <col min="2563" max="2591" width="0" style="1" hidden="1" customWidth="1"/>
    <col min="2592" max="2596" width="10.85546875" style="1" customWidth="1"/>
    <col min="2597" max="2597" width="10" style="1" bestFit="1" customWidth="1"/>
    <col min="2598" max="2817" width="9.140625" style="1"/>
    <col min="2818" max="2818" width="33.140625" style="1" customWidth="1"/>
    <col min="2819" max="2847" width="0" style="1" hidden="1" customWidth="1"/>
    <col min="2848" max="2852" width="10.85546875" style="1" customWidth="1"/>
    <col min="2853" max="2853" width="10" style="1" bestFit="1" customWidth="1"/>
    <col min="2854" max="3073" width="9.140625" style="1"/>
    <col min="3074" max="3074" width="33.140625" style="1" customWidth="1"/>
    <col min="3075" max="3103" width="0" style="1" hidden="1" customWidth="1"/>
    <col min="3104" max="3108" width="10.85546875" style="1" customWidth="1"/>
    <col min="3109" max="3109" width="10" style="1" bestFit="1" customWidth="1"/>
    <col min="3110" max="3329" width="9.140625" style="1"/>
    <col min="3330" max="3330" width="33.140625" style="1" customWidth="1"/>
    <col min="3331" max="3359" width="0" style="1" hidden="1" customWidth="1"/>
    <col min="3360" max="3364" width="10.85546875" style="1" customWidth="1"/>
    <col min="3365" max="3365" width="10" style="1" bestFit="1" customWidth="1"/>
    <col min="3366" max="3585" width="9.140625" style="1"/>
    <col min="3586" max="3586" width="33.140625" style="1" customWidth="1"/>
    <col min="3587" max="3615" width="0" style="1" hidden="1" customWidth="1"/>
    <col min="3616" max="3620" width="10.85546875" style="1" customWidth="1"/>
    <col min="3621" max="3621" width="10" style="1" bestFit="1" customWidth="1"/>
    <col min="3622" max="3841" width="9.140625" style="1"/>
    <col min="3842" max="3842" width="33.140625" style="1" customWidth="1"/>
    <col min="3843" max="3871" width="0" style="1" hidden="1" customWidth="1"/>
    <col min="3872" max="3876" width="10.85546875" style="1" customWidth="1"/>
    <col min="3877" max="3877" width="10" style="1" bestFit="1" customWidth="1"/>
    <col min="3878" max="4097" width="9.140625" style="1"/>
    <col min="4098" max="4098" width="33.140625" style="1" customWidth="1"/>
    <col min="4099" max="4127" width="0" style="1" hidden="1" customWidth="1"/>
    <col min="4128" max="4132" width="10.85546875" style="1" customWidth="1"/>
    <col min="4133" max="4133" width="10" style="1" bestFit="1" customWidth="1"/>
    <col min="4134" max="4353" width="9.140625" style="1"/>
    <col min="4354" max="4354" width="33.140625" style="1" customWidth="1"/>
    <col min="4355" max="4383" width="0" style="1" hidden="1" customWidth="1"/>
    <col min="4384" max="4388" width="10.85546875" style="1" customWidth="1"/>
    <col min="4389" max="4389" width="10" style="1" bestFit="1" customWidth="1"/>
    <col min="4390" max="4609" width="9.140625" style="1"/>
    <col min="4610" max="4610" width="33.140625" style="1" customWidth="1"/>
    <col min="4611" max="4639" width="0" style="1" hidden="1" customWidth="1"/>
    <col min="4640" max="4644" width="10.85546875" style="1" customWidth="1"/>
    <col min="4645" max="4645" width="10" style="1" bestFit="1" customWidth="1"/>
    <col min="4646" max="4865" width="9.140625" style="1"/>
    <col min="4866" max="4866" width="33.140625" style="1" customWidth="1"/>
    <col min="4867" max="4895" width="0" style="1" hidden="1" customWidth="1"/>
    <col min="4896" max="4900" width="10.85546875" style="1" customWidth="1"/>
    <col min="4901" max="4901" width="10" style="1" bestFit="1" customWidth="1"/>
    <col min="4902" max="5121" width="9.140625" style="1"/>
    <col min="5122" max="5122" width="33.140625" style="1" customWidth="1"/>
    <col min="5123" max="5151" width="0" style="1" hidden="1" customWidth="1"/>
    <col min="5152" max="5156" width="10.85546875" style="1" customWidth="1"/>
    <col min="5157" max="5157" width="10" style="1" bestFit="1" customWidth="1"/>
    <col min="5158" max="5377" width="9.140625" style="1"/>
    <col min="5378" max="5378" width="33.140625" style="1" customWidth="1"/>
    <col min="5379" max="5407" width="0" style="1" hidden="1" customWidth="1"/>
    <col min="5408" max="5412" width="10.85546875" style="1" customWidth="1"/>
    <col min="5413" max="5413" width="10" style="1" bestFit="1" customWidth="1"/>
    <col min="5414" max="5633" width="9.140625" style="1"/>
    <col min="5634" max="5634" width="33.140625" style="1" customWidth="1"/>
    <col min="5635" max="5663" width="0" style="1" hidden="1" customWidth="1"/>
    <col min="5664" max="5668" width="10.85546875" style="1" customWidth="1"/>
    <col min="5669" max="5669" width="10" style="1" bestFit="1" customWidth="1"/>
    <col min="5670" max="5889" width="9.140625" style="1"/>
    <col min="5890" max="5890" width="33.140625" style="1" customWidth="1"/>
    <col min="5891" max="5919" width="0" style="1" hidden="1" customWidth="1"/>
    <col min="5920" max="5924" width="10.85546875" style="1" customWidth="1"/>
    <col min="5925" max="5925" width="10" style="1" bestFit="1" customWidth="1"/>
    <col min="5926" max="6145" width="9.140625" style="1"/>
    <col min="6146" max="6146" width="33.140625" style="1" customWidth="1"/>
    <col min="6147" max="6175" width="0" style="1" hidden="1" customWidth="1"/>
    <col min="6176" max="6180" width="10.85546875" style="1" customWidth="1"/>
    <col min="6181" max="6181" width="10" style="1" bestFit="1" customWidth="1"/>
    <col min="6182" max="6401" width="9.140625" style="1"/>
    <col min="6402" max="6402" width="33.140625" style="1" customWidth="1"/>
    <col min="6403" max="6431" width="0" style="1" hidden="1" customWidth="1"/>
    <col min="6432" max="6436" width="10.85546875" style="1" customWidth="1"/>
    <col min="6437" max="6437" width="10" style="1" bestFit="1" customWidth="1"/>
    <col min="6438" max="6657" width="9.140625" style="1"/>
    <col min="6658" max="6658" width="33.140625" style="1" customWidth="1"/>
    <col min="6659" max="6687" width="0" style="1" hidden="1" customWidth="1"/>
    <col min="6688" max="6692" width="10.85546875" style="1" customWidth="1"/>
    <col min="6693" max="6693" width="10" style="1" bestFit="1" customWidth="1"/>
    <col min="6694" max="6913" width="9.140625" style="1"/>
    <col min="6914" max="6914" width="33.140625" style="1" customWidth="1"/>
    <col min="6915" max="6943" width="0" style="1" hidden="1" customWidth="1"/>
    <col min="6944" max="6948" width="10.85546875" style="1" customWidth="1"/>
    <col min="6949" max="6949" width="10" style="1" bestFit="1" customWidth="1"/>
    <col min="6950" max="7169" width="9.140625" style="1"/>
    <col min="7170" max="7170" width="33.140625" style="1" customWidth="1"/>
    <col min="7171" max="7199" width="0" style="1" hidden="1" customWidth="1"/>
    <col min="7200" max="7204" width="10.85546875" style="1" customWidth="1"/>
    <col min="7205" max="7205" width="10" style="1" bestFit="1" customWidth="1"/>
    <col min="7206" max="7425" width="9.140625" style="1"/>
    <col min="7426" max="7426" width="33.140625" style="1" customWidth="1"/>
    <col min="7427" max="7455" width="0" style="1" hidden="1" customWidth="1"/>
    <col min="7456" max="7460" width="10.85546875" style="1" customWidth="1"/>
    <col min="7461" max="7461" width="10" style="1" bestFit="1" customWidth="1"/>
    <col min="7462" max="7681" width="9.140625" style="1"/>
    <col min="7682" max="7682" width="33.140625" style="1" customWidth="1"/>
    <col min="7683" max="7711" width="0" style="1" hidden="1" customWidth="1"/>
    <col min="7712" max="7716" width="10.85546875" style="1" customWidth="1"/>
    <col min="7717" max="7717" width="10" style="1" bestFit="1" customWidth="1"/>
    <col min="7718" max="7937" width="9.140625" style="1"/>
    <col min="7938" max="7938" width="33.140625" style="1" customWidth="1"/>
    <col min="7939" max="7967" width="0" style="1" hidden="1" customWidth="1"/>
    <col min="7968" max="7972" width="10.85546875" style="1" customWidth="1"/>
    <col min="7973" max="7973" width="10" style="1" bestFit="1" customWidth="1"/>
    <col min="7974" max="8193" width="9.140625" style="1"/>
    <col min="8194" max="8194" width="33.140625" style="1" customWidth="1"/>
    <col min="8195" max="8223" width="0" style="1" hidden="1" customWidth="1"/>
    <col min="8224" max="8228" width="10.85546875" style="1" customWidth="1"/>
    <col min="8229" max="8229" width="10" style="1" bestFit="1" customWidth="1"/>
    <col min="8230" max="8449" width="9.140625" style="1"/>
    <col min="8450" max="8450" width="33.140625" style="1" customWidth="1"/>
    <col min="8451" max="8479" width="0" style="1" hidden="1" customWidth="1"/>
    <col min="8480" max="8484" width="10.85546875" style="1" customWidth="1"/>
    <col min="8485" max="8485" width="10" style="1" bestFit="1" customWidth="1"/>
    <col min="8486" max="8705" width="9.140625" style="1"/>
    <col min="8706" max="8706" width="33.140625" style="1" customWidth="1"/>
    <col min="8707" max="8735" width="0" style="1" hidden="1" customWidth="1"/>
    <col min="8736" max="8740" width="10.85546875" style="1" customWidth="1"/>
    <col min="8741" max="8741" width="10" style="1" bestFit="1" customWidth="1"/>
    <col min="8742" max="8961" width="9.140625" style="1"/>
    <col min="8962" max="8962" width="33.140625" style="1" customWidth="1"/>
    <col min="8963" max="8991" width="0" style="1" hidden="1" customWidth="1"/>
    <col min="8992" max="8996" width="10.85546875" style="1" customWidth="1"/>
    <col min="8997" max="8997" width="10" style="1" bestFit="1" customWidth="1"/>
    <col min="8998" max="9217" width="9.140625" style="1"/>
    <col min="9218" max="9218" width="33.140625" style="1" customWidth="1"/>
    <col min="9219" max="9247" width="0" style="1" hidden="1" customWidth="1"/>
    <col min="9248" max="9252" width="10.85546875" style="1" customWidth="1"/>
    <col min="9253" max="9253" width="10" style="1" bestFit="1" customWidth="1"/>
    <col min="9254" max="9473" width="9.140625" style="1"/>
    <col min="9474" max="9474" width="33.140625" style="1" customWidth="1"/>
    <col min="9475" max="9503" width="0" style="1" hidden="1" customWidth="1"/>
    <col min="9504" max="9508" width="10.85546875" style="1" customWidth="1"/>
    <col min="9509" max="9509" width="10" style="1" bestFit="1" customWidth="1"/>
    <col min="9510" max="9729" width="9.140625" style="1"/>
    <col min="9730" max="9730" width="33.140625" style="1" customWidth="1"/>
    <col min="9731" max="9759" width="0" style="1" hidden="1" customWidth="1"/>
    <col min="9760" max="9764" width="10.85546875" style="1" customWidth="1"/>
    <col min="9765" max="9765" width="10" style="1" bestFit="1" customWidth="1"/>
    <col min="9766" max="9985" width="9.140625" style="1"/>
    <col min="9986" max="9986" width="33.140625" style="1" customWidth="1"/>
    <col min="9987" max="10015" width="0" style="1" hidden="1" customWidth="1"/>
    <col min="10016" max="10020" width="10.85546875" style="1" customWidth="1"/>
    <col min="10021" max="10021" width="10" style="1" bestFit="1" customWidth="1"/>
    <col min="10022" max="10241" width="9.140625" style="1"/>
    <col min="10242" max="10242" width="33.140625" style="1" customWidth="1"/>
    <col min="10243" max="10271" width="0" style="1" hidden="1" customWidth="1"/>
    <col min="10272" max="10276" width="10.85546875" style="1" customWidth="1"/>
    <col min="10277" max="10277" width="10" style="1" bestFit="1" customWidth="1"/>
    <col min="10278" max="10497" width="9.140625" style="1"/>
    <col min="10498" max="10498" width="33.140625" style="1" customWidth="1"/>
    <col min="10499" max="10527" width="0" style="1" hidden="1" customWidth="1"/>
    <col min="10528" max="10532" width="10.85546875" style="1" customWidth="1"/>
    <col min="10533" max="10533" width="10" style="1" bestFit="1" customWidth="1"/>
    <col min="10534" max="10753" width="9.140625" style="1"/>
    <col min="10754" max="10754" width="33.140625" style="1" customWidth="1"/>
    <col min="10755" max="10783" width="0" style="1" hidden="1" customWidth="1"/>
    <col min="10784" max="10788" width="10.85546875" style="1" customWidth="1"/>
    <col min="10789" max="10789" width="10" style="1" bestFit="1" customWidth="1"/>
    <col min="10790" max="11009" width="9.140625" style="1"/>
    <col min="11010" max="11010" width="33.140625" style="1" customWidth="1"/>
    <col min="11011" max="11039" width="0" style="1" hidden="1" customWidth="1"/>
    <col min="11040" max="11044" width="10.85546875" style="1" customWidth="1"/>
    <col min="11045" max="11045" width="10" style="1" bestFit="1" customWidth="1"/>
    <col min="11046" max="11265" width="9.140625" style="1"/>
    <col min="11266" max="11266" width="33.140625" style="1" customWidth="1"/>
    <col min="11267" max="11295" width="0" style="1" hidden="1" customWidth="1"/>
    <col min="11296" max="11300" width="10.85546875" style="1" customWidth="1"/>
    <col min="11301" max="11301" width="10" style="1" bestFit="1" customWidth="1"/>
    <col min="11302" max="11521" width="9.140625" style="1"/>
    <col min="11522" max="11522" width="33.140625" style="1" customWidth="1"/>
    <col min="11523" max="11551" width="0" style="1" hidden="1" customWidth="1"/>
    <col min="11552" max="11556" width="10.85546875" style="1" customWidth="1"/>
    <col min="11557" max="11557" width="10" style="1" bestFit="1" customWidth="1"/>
    <col min="11558" max="11777" width="9.140625" style="1"/>
    <col min="11778" max="11778" width="33.140625" style="1" customWidth="1"/>
    <col min="11779" max="11807" width="0" style="1" hidden="1" customWidth="1"/>
    <col min="11808" max="11812" width="10.85546875" style="1" customWidth="1"/>
    <col min="11813" max="11813" width="10" style="1" bestFit="1" customWidth="1"/>
    <col min="11814" max="12033" width="9.140625" style="1"/>
    <col min="12034" max="12034" width="33.140625" style="1" customWidth="1"/>
    <col min="12035" max="12063" width="0" style="1" hidden="1" customWidth="1"/>
    <col min="12064" max="12068" width="10.85546875" style="1" customWidth="1"/>
    <col min="12069" max="12069" width="10" style="1" bestFit="1" customWidth="1"/>
    <col min="12070" max="12289" width="9.140625" style="1"/>
    <col min="12290" max="12290" width="33.140625" style="1" customWidth="1"/>
    <col min="12291" max="12319" width="0" style="1" hidden="1" customWidth="1"/>
    <col min="12320" max="12324" width="10.85546875" style="1" customWidth="1"/>
    <col min="12325" max="12325" width="10" style="1" bestFit="1" customWidth="1"/>
    <col min="12326" max="12545" width="9.140625" style="1"/>
    <col min="12546" max="12546" width="33.140625" style="1" customWidth="1"/>
    <col min="12547" max="12575" width="0" style="1" hidden="1" customWidth="1"/>
    <col min="12576" max="12580" width="10.85546875" style="1" customWidth="1"/>
    <col min="12581" max="12581" width="10" style="1" bestFit="1" customWidth="1"/>
    <col min="12582" max="12801" width="9.140625" style="1"/>
    <col min="12802" max="12802" width="33.140625" style="1" customWidth="1"/>
    <col min="12803" max="12831" width="0" style="1" hidden="1" customWidth="1"/>
    <col min="12832" max="12836" width="10.85546875" style="1" customWidth="1"/>
    <col min="12837" max="12837" width="10" style="1" bestFit="1" customWidth="1"/>
    <col min="12838" max="13057" width="9.140625" style="1"/>
    <col min="13058" max="13058" width="33.140625" style="1" customWidth="1"/>
    <col min="13059" max="13087" width="0" style="1" hidden="1" customWidth="1"/>
    <col min="13088" max="13092" width="10.85546875" style="1" customWidth="1"/>
    <col min="13093" max="13093" width="10" style="1" bestFit="1" customWidth="1"/>
    <col min="13094" max="13313" width="9.140625" style="1"/>
    <col min="13314" max="13314" width="33.140625" style="1" customWidth="1"/>
    <col min="13315" max="13343" width="0" style="1" hidden="1" customWidth="1"/>
    <col min="13344" max="13348" width="10.85546875" style="1" customWidth="1"/>
    <col min="13349" max="13349" width="10" style="1" bestFit="1" customWidth="1"/>
    <col min="13350" max="13569" width="9.140625" style="1"/>
    <col min="13570" max="13570" width="33.140625" style="1" customWidth="1"/>
    <col min="13571" max="13599" width="0" style="1" hidden="1" customWidth="1"/>
    <col min="13600" max="13604" width="10.85546875" style="1" customWidth="1"/>
    <col min="13605" max="13605" width="10" style="1" bestFit="1" customWidth="1"/>
    <col min="13606" max="13825" width="9.140625" style="1"/>
    <col min="13826" max="13826" width="33.140625" style="1" customWidth="1"/>
    <col min="13827" max="13855" width="0" style="1" hidden="1" customWidth="1"/>
    <col min="13856" max="13860" width="10.85546875" style="1" customWidth="1"/>
    <col min="13861" max="13861" width="10" style="1" bestFit="1" customWidth="1"/>
    <col min="13862" max="14081" width="9.140625" style="1"/>
    <col min="14082" max="14082" width="33.140625" style="1" customWidth="1"/>
    <col min="14083" max="14111" width="0" style="1" hidden="1" customWidth="1"/>
    <col min="14112" max="14116" width="10.85546875" style="1" customWidth="1"/>
    <col min="14117" max="14117" width="10" style="1" bestFit="1" customWidth="1"/>
    <col min="14118" max="14337" width="9.140625" style="1"/>
    <col min="14338" max="14338" width="33.140625" style="1" customWidth="1"/>
    <col min="14339" max="14367" width="0" style="1" hidden="1" customWidth="1"/>
    <col min="14368" max="14372" width="10.85546875" style="1" customWidth="1"/>
    <col min="14373" max="14373" width="10" style="1" bestFit="1" customWidth="1"/>
    <col min="14374" max="14593" width="9.140625" style="1"/>
    <col min="14594" max="14594" width="33.140625" style="1" customWidth="1"/>
    <col min="14595" max="14623" width="0" style="1" hidden="1" customWidth="1"/>
    <col min="14624" max="14628" width="10.85546875" style="1" customWidth="1"/>
    <col min="14629" max="14629" width="10" style="1" bestFit="1" customWidth="1"/>
    <col min="14630" max="14849" width="9.140625" style="1"/>
    <col min="14850" max="14850" width="33.140625" style="1" customWidth="1"/>
    <col min="14851" max="14879" width="0" style="1" hidden="1" customWidth="1"/>
    <col min="14880" max="14884" width="10.85546875" style="1" customWidth="1"/>
    <col min="14885" max="14885" width="10" style="1" bestFit="1" customWidth="1"/>
    <col min="14886" max="15105" width="9.140625" style="1"/>
    <col min="15106" max="15106" width="33.140625" style="1" customWidth="1"/>
    <col min="15107" max="15135" width="0" style="1" hidden="1" customWidth="1"/>
    <col min="15136" max="15140" width="10.85546875" style="1" customWidth="1"/>
    <col min="15141" max="15141" width="10" style="1" bestFit="1" customWidth="1"/>
    <col min="15142" max="15361" width="9.140625" style="1"/>
    <col min="15362" max="15362" width="33.140625" style="1" customWidth="1"/>
    <col min="15363" max="15391" width="0" style="1" hidden="1" customWidth="1"/>
    <col min="15392" max="15396" width="10.85546875" style="1" customWidth="1"/>
    <col min="15397" max="15397" width="10" style="1" bestFit="1" customWidth="1"/>
    <col min="15398" max="15617" width="9.140625" style="1"/>
    <col min="15618" max="15618" width="33.140625" style="1" customWidth="1"/>
    <col min="15619" max="15647" width="0" style="1" hidden="1" customWidth="1"/>
    <col min="15648" max="15652" width="10.85546875" style="1" customWidth="1"/>
    <col min="15653" max="15653" width="10" style="1" bestFit="1" customWidth="1"/>
    <col min="15654" max="15873" width="9.140625" style="1"/>
    <col min="15874" max="15874" width="33.140625" style="1" customWidth="1"/>
    <col min="15875" max="15903" width="0" style="1" hidden="1" customWidth="1"/>
    <col min="15904" max="15908" width="10.85546875" style="1" customWidth="1"/>
    <col min="15909" max="15909" width="10" style="1" bestFit="1" customWidth="1"/>
    <col min="15910" max="16129" width="9.140625" style="1"/>
    <col min="16130" max="16130" width="33.140625" style="1" customWidth="1"/>
    <col min="16131" max="16159" width="0" style="1" hidden="1" customWidth="1"/>
    <col min="16160" max="16164" width="10.85546875" style="1" customWidth="1"/>
    <col min="16165" max="16165" width="10" style="1" bestFit="1" customWidth="1"/>
    <col min="16166" max="16384" width="9.140625" style="1"/>
  </cols>
  <sheetData>
    <row r="2" spans="1:45" x14ac:dyDescent="0.2">
      <c r="AP2" s="2" t="s">
        <v>47</v>
      </c>
    </row>
    <row r="4" spans="1:45" x14ac:dyDescent="0.2">
      <c r="AB4" s="80" t="s">
        <v>16</v>
      </c>
      <c r="AC4" s="80"/>
      <c r="AD4" s="80"/>
      <c r="AE4" s="80"/>
      <c r="AF4" s="80"/>
      <c r="AG4" s="80"/>
      <c r="AH4" s="80"/>
      <c r="AI4" s="80"/>
      <c r="AJ4" s="80"/>
      <c r="AK4" s="80"/>
    </row>
    <row r="7" spans="1:45" x14ac:dyDescent="0.2">
      <c r="A7" s="56">
        <v>16.04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2" t="s">
        <v>45</v>
      </c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</row>
    <row r="8" spans="1:45" x14ac:dyDescent="0.2">
      <c r="C8" s="5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57"/>
      <c r="AH8" s="57"/>
      <c r="AI8" s="57"/>
      <c r="AJ8" s="57"/>
      <c r="AK8" s="57"/>
      <c r="AL8" s="57"/>
    </row>
    <row r="9" spans="1:45" x14ac:dyDescent="0.2">
      <c r="C9" s="58"/>
      <c r="D9" s="58">
        <v>1978</v>
      </c>
      <c r="E9" s="58">
        <v>1979</v>
      </c>
      <c r="F9" s="58">
        <v>1980</v>
      </c>
      <c r="G9" s="58">
        <v>1981</v>
      </c>
      <c r="H9" s="58">
        <v>1982</v>
      </c>
      <c r="I9" s="58">
        <v>1983</v>
      </c>
      <c r="J9" s="58">
        <v>1984</v>
      </c>
      <c r="K9" s="58">
        <v>1985</v>
      </c>
      <c r="L9" s="58">
        <v>1986</v>
      </c>
      <c r="M9" s="58">
        <v>1987</v>
      </c>
      <c r="N9" s="58">
        <v>1988</v>
      </c>
      <c r="O9" s="58">
        <v>1989</v>
      </c>
      <c r="P9" s="58">
        <v>1990</v>
      </c>
      <c r="Q9" s="58">
        <v>1991</v>
      </c>
      <c r="R9" s="58">
        <v>1992</v>
      </c>
      <c r="S9" s="58">
        <v>1993</v>
      </c>
      <c r="T9" s="59">
        <v>1994</v>
      </c>
      <c r="U9" s="59">
        <v>1995</v>
      </c>
      <c r="V9" s="59">
        <v>1996</v>
      </c>
      <c r="W9" s="59">
        <v>1997</v>
      </c>
      <c r="X9" s="60">
        <v>1998</v>
      </c>
      <c r="Y9" s="60">
        <v>1999</v>
      </c>
      <c r="Z9" s="60">
        <v>2000</v>
      </c>
      <c r="AA9" s="60">
        <v>2001</v>
      </c>
      <c r="AB9" s="60">
        <v>2002</v>
      </c>
      <c r="AC9" s="60">
        <v>2003</v>
      </c>
      <c r="AD9" s="60">
        <v>2004</v>
      </c>
      <c r="AE9" s="60">
        <v>2005</v>
      </c>
      <c r="AF9" s="60">
        <v>2006</v>
      </c>
      <c r="AG9" s="60">
        <v>2007</v>
      </c>
      <c r="AH9" s="10">
        <v>2008</v>
      </c>
      <c r="AI9" s="10">
        <v>2009</v>
      </c>
      <c r="AJ9" s="10">
        <v>2010</v>
      </c>
      <c r="AK9" s="10">
        <v>2011</v>
      </c>
      <c r="AL9" s="10">
        <v>2012</v>
      </c>
      <c r="AM9" s="10">
        <v>2013</v>
      </c>
      <c r="AN9" s="10">
        <v>2013</v>
      </c>
      <c r="AO9" s="10">
        <v>2014</v>
      </c>
      <c r="AP9" s="10">
        <v>2015</v>
      </c>
      <c r="AQ9" s="10">
        <v>2016</v>
      </c>
      <c r="AR9" s="10">
        <v>2017</v>
      </c>
      <c r="AS9" s="10">
        <v>2018</v>
      </c>
    </row>
    <row r="11" spans="1:45" x14ac:dyDescent="0.2">
      <c r="C11" s="2" t="s">
        <v>23</v>
      </c>
    </row>
    <row r="12" spans="1:45" x14ac:dyDescent="0.2">
      <c r="C12" s="61" t="s">
        <v>24</v>
      </c>
      <c r="D12" s="15">
        <v>834</v>
      </c>
      <c r="E12" s="15">
        <v>1173</v>
      </c>
      <c r="F12" s="15">
        <v>1633</v>
      </c>
      <c r="G12" s="15">
        <v>1605</v>
      </c>
      <c r="H12" s="15">
        <v>1476</v>
      </c>
      <c r="I12" s="15">
        <v>1315</v>
      </c>
      <c r="J12" s="15">
        <v>1345</v>
      </c>
      <c r="K12" s="15">
        <v>1279</v>
      </c>
      <c r="L12" s="15">
        <v>1327</v>
      </c>
      <c r="M12" s="15">
        <v>1597</v>
      </c>
      <c r="N12" s="15">
        <v>1813</v>
      </c>
      <c r="O12" s="15">
        <v>1727</v>
      </c>
      <c r="P12" s="15">
        <v>1762</v>
      </c>
      <c r="Q12" s="15">
        <v>1709</v>
      </c>
      <c r="R12" s="15">
        <v>1661</v>
      </c>
      <c r="S12" s="15">
        <v>1487</v>
      </c>
      <c r="T12" s="15">
        <v>1599</v>
      </c>
      <c r="U12" s="15">
        <v>1729</v>
      </c>
      <c r="V12" s="15">
        <f>1705+350</f>
        <v>2055</v>
      </c>
      <c r="W12" s="15">
        <v>2151</v>
      </c>
      <c r="X12" s="15">
        <v>2344</v>
      </c>
      <c r="Y12" s="15">
        <v>2293</v>
      </c>
      <c r="Z12" s="15">
        <v>1868</v>
      </c>
      <c r="AA12" s="15">
        <v>1846</v>
      </c>
      <c r="AB12" s="15">
        <f>1412+430</f>
        <v>1842</v>
      </c>
      <c r="AC12" s="15">
        <v>2357</v>
      </c>
      <c r="AD12" s="15">
        <v>2335</v>
      </c>
      <c r="AE12" s="15">
        <v>2640</v>
      </c>
      <c r="AF12" s="15">
        <v>2777</v>
      </c>
      <c r="AG12" s="15">
        <v>2190</v>
      </c>
      <c r="AH12" s="15">
        <v>2289</v>
      </c>
      <c r="AI12" s="15">
        <v>2045</v>
      </c>
      <c r="AJ12" s="15">
        <v>1619</v>
      </c>
      <c r="AK12" s="15">
        <v>1708</v>
      </c>
      <c r="AL12" s="15">
        <v>1696</v>
      </c>
      <c r="AM12" s="15">
        <v>1569</v>
      </c>
      <c r="AN12" s="15">
        <v>1569</v>
      </c>
      <c r="AO12" s="15">
        <v>1718</v>
      </c>
      <c r="AP12" s="15">
        <v>1787</v>
      </c>
      <c r="AQ12" s="15">
        <v>1792</v>
      </c>
      <c r="AR12" s="15">
        <v>1875</v>
      </c>
      <c r="AS12" s="15">
        <v>2070</v>
      </c>
    </row>
    <row r="13" spans="1:45" x14ac:dyDescent="0.2">
      <c r="C13" s="61" t="s">
        <v>25</v>
      </c>
      <c r="D13" s="30">
        <v>16.8</v>
      </c>
      <c r="E13" s="30">
        <v>34</v>
      </c>
      <c r="F13" s="30">
        <v>61.8</v>
      </c>
      <c r="G13" s="30">
        <v>63.7</v>
      </c>
      <c r="H13" s="30">
        <v>59.1</v>
      </c>
      <c r="I13" s="30">
        <v>64.900000000000006</v>
      </c>
      <c r="J13" s="30">
        <v>62.4</v>
      </c>
      <c r="K13" s="30">
        <v>69.2</v>
      </c>
      <c r="L13" s="30">
        <v>61.9</v>
      </c>
      <c r="M13" s="30">
        <v>93.4</v>
      </c>
      <c r="N13" s="30">
        <v>131.1</v>
      </c>
      <c r="O13" s="30">
        <v>124.3</v>
      </c>
      <c r="P13" s="30">
        <v>118.9</v>
      </c>
      <c r="Q13" s="30">
        <v>136.30000000000001</v>
      </c>
      <c r="R13" s="30">
        <v>106.3</v>
      </c>
      <c r="S13" s="30">
        <v>130.1</v>
      </c>
      <c r="T13" s="30">
        <v>165.77949032000001</v>
      </c>
      <c r="U13" s="30">
        <v>191.20531969999999</v>
      </c>
      <c r="V13" s="30">
        <f>267238247/1000000</f>
        <v>267.238247</v>
      </c>
      <c r="W13" s="30">
        <v>281.8</v>
      </c>
      <c r="X13" s="30">
        <v>317.23399999999998</v>
      </c>
      <c r="Y13" s="30">
        <v>222.5</v>
      </c>
      <c r="Z13" s="30">
        <v>257.3</v>
      </c>
      <c r="AA13" s="30">
        <v>172.8</v>
      </c>
      <c r="AB13" s="30">
        <v>269.92700000000002</v>
      </c>
      <c r="AC13" s="30">
        <v>324.32382999999999</v>
      </c>
      <c r="AD13" s="30">
        <v>339.2</v>
      </c>
      <c r="AE13" s="30">
        <v>450.8</v>
      </c>
      <c r="AF13" s="30">
        <v>691.1</v>
      </c>
      <c r="AG13" s="30">
        <v>545.5</v>
      </c>
      <c r="AH13" s="30">
        <v>558.1</v>
      </c>
      <c r="AI13" s="30">
        <v>397</v>
      </c>
      <c r="AJ13" s="30">
        <v>307.23715499999997</v>
      </c>
      <c r="AK13" s="30">
        <v>632.1</v>
      </c>
      <c r="AL13" s="30">
        <v>418.1</v>
      </c>
      <c r="AM13" s="30">
        <v>538.82016099999998</v>
      </c>
      <c r="AN13" s="30">
        <v>538.82016099999998</v>
      </c>
      <c r="AO13" s="30">
        <v>533.68728299999998</v>
      </c>
      <c r="AP13" s="30">
        <v>592.4</v>
      </c>
      <c r="AQ13" s="30">
        <v>844.3</v>
      </c>
      <c r="AR13" s="30">
        <v>798</v>
      </c>
      <c r="AS13" s="30">
        <v>855.8</v>
      </c>
    </row>
    <row r="14" spans="1:45" x14ac:dyDescent="0.2">
      <c r="C14" s="61" t="s">
        <v>37</v>
      </c>
      <c r="D14" s="30">
        <f t="shared" ref="D14:W14" si="0">D13*1000/D12</f>
        <v>20.14388489208633</v>
      </c>
      <c r="E14" s="30">
        <f t="shared" si="0"/>
        <v>28.985507246376812</v>
      </c>
      <c r="F14" s="30">
        <f t="shared" si="0"/>
        <v>37.844458052663811</v>
      </c>
      <c r="G14" s="30">
        <f t="shared" si="0"/>
        <v>39.688473520249218</v>
      </c>
      <c r="H14" s="30">
        <f t="shared" si="0"/>
        <v>40.040650406504064</v>
      </c>
      <c r="I14" s="30">
        <f t="shared" si="0"/>
        <v>49.353612167300383</v>
      </c>
      <c r="J14" s="30">
        <f t="shared" si="0"/>
        <v>46.394052044609666</v>
      </c>
      <c r="K14" s="30">
        <f t="shared" si="0"/>
        <v>54.104769351055509</v>
      </c>
      <c r="L14" s="30">
        <f t="shared" si="0"/>
        <v>46.646571213263002</v>
      </c>
      <c r="M14" s="30">
        <f t="shared" si="0"/>
        <v>58.484658735128363</v>
      </c>
      <c r="N14" s="30">
        <f t="shared" si="0"/>
        <v>72.311086596800877</v>
      </c>
      <c r="O14" s="30">
        <f t="shared" si="0"/>
        <v>71.974522292993626</v>
      </c>
      <c r="P14" s="30">
        <f t="shared" si="0"/>
        <v>67.48013620885358</v>
      </c>
      <c r="Q14" s="30">
        <f t="shared" si="0"/>
        <v>79.75424224692803</v>
      </c>
      <c r="R14" s="30">
        <f t="shared" si="0"/>
        <v>63.997591812161346</v>
      </c>
      <c r="S14" s="30">
        <f t="shared" si="0"/>
        <v>87.491593813046407</v>
      </c>
      <c r="T14" s="30">
        <f t="shared" si="0"/>
        <v>103.67697956222639</v>
      </c>
      <c r="U14" s="30">
        <f t="shared" si="0"/>
        <v>110.58722943898206</v>
      </c>
      <c r="V14" s="30">
        <f t="shared" si="0"/>
        <v>130.0429425790754</v>
      </c>
      <c r="W14" s="30">
        <f t="shared" si="0"/>
        <v>131.00883310088332</v>
      </c>
      <c r="X14" s="30">
        <f t="shared" ref="X14:AN14" si="1">(X13*1000)/X12</f>
        <v>135.33873720136518</v>
      </c>
      <c r="Y14" s="30">
        <f t="shared" si="1"/>
        <v>97.03445268207588</v>
      </c>
      <c r="Z14" s="30">
        <f t="shared" si="1"/>
        <v>137.74089935760171</v>
      </c>
      <c r="AA14" s="30">
        <f t="shared" si="1"/>
        <v>93.607800650054173</v>
      </c>
      <c r="AB14" s="30">
        <f t="shared" si="1"/>
        <v>146.54017372421282</v>
      </c>
      <c r="AC14" s="30">
        <f t="shared" si="1"/>
        <v>137.60026728892657</v>
      </c>
      <c r="AD14" s="30">
        <f t="shared" si="1"/>
        <v>145.26766595289078</v>
      </c>
      <c r="AE14" s="30">
        <f t="shared" si="1"/>
        <v>170.75757575757575</v>
      </c>
      <c r="AF14" s="30">
        <f t="shared" si="1"/>
        <v>248.8656823910695</v>
      </c>
      <c r="AG14" s="30">
        <f t="shared" si="1"/>
        <v>249.08675799086757</v>
      </c>
      <c r="AH14" s="30">
        <f t="shared" si="1"/>
        <v>243.81826124945391</v>
      </c>
      <c r="AI14" s="30">
        <f t="shared" si="1"/>
        <v>194.13202933985329</v>
      </c>
      <c r="AJ14" s="30">
        <f t="shared" si="1"/>
        <v>189.7697066090179</v>
      </c>
      <c r="AK14" s="30">
        <f t="shared" si="1"/>
        <v>370.08196721311475</v>
      </c>
      <c r="AL14" s="30">
        <f t="shared" si="1"/>
        <v>246.52122641509433</v>
      </c>
      <c r="AM14" s="30">
        <f t="shared" si="1"/>
        <v>343.41629126832373</v>
      </c>
      <c r="AN14" s="30">
        <f t="shared" si="1"/>
        <v>343.41629126832373</v>
      </c>
      <c r="AO14" s="30">
        <v>310.6445186263096</v>
      </c>
      <c r="AP14" s="30">
        <v>331.5</v>
      </c>
      <c r="AQ14" s="30">
        <v>471.2</v>
      </c>
      <c r="AR14" s="30">
        <v>425.6</v>
      </c>
      <c r="AS14" s="30">
        <v>413.4</v>
      </c>
    </row>
    <row r="15" spans="1:45" x14ac:dyDescent="0.2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Y15" s="15"/>
    </row>
    <row r="16" spans="1:45" x14ac:dyDescent="0.2">
      <c r="C16" s="62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Y16" s="15"/>
    </row>
    <row r="17" spans="3:45" ht="25.5" x14ac:dyDescent="0.2">
      <c r="C17" s="62" t="s">
        <v>26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Y17" s="15"/>
    </row>
    <row r="18" spans="3:45" x14ac:dyDescent="0.2">
      <c r="C18" s="61" t="s">
        <v>24</v>
      </c>
      <c r="D18" s="15">
        <v>72</v>
      </c>
      <c r="E18" s="15">
        <v>37</v>
      </c>
      <c r="F18" s="15">
        <v>58</v>
      </c>
      <c r="G18" s="15">
        <v>25</v>
      </c>
      <c r="H18" s="15">
        <v>15</v>
      </c>
      <c r="I18" s="15">
        <v>21</v>
      </c>
      <c r="J18" s="15">
        <v>11</v>
      </c>
      <c r="K18" s="15">
        <v>22</v>
      </c>
      <c r="L18" s="15">
        <v>26</v>
      </c>
      <c r="M18" s="15">
        <v>44</v>
      </c>
      <c r="N18" s="15">
        <v>27</v>
      </c>
      <c r="O18" s="15">
        <v>71</v>
      </c>
      <c r="P18" s="15">
        <v>112</v>
      </c>
      <c r="Q18" s="15">
        <v>97</v>
      </c>
      <c r="R18" s="15">
        <v>80</v>
      </c>
      <c r="S18" s="15">
        <v>66</v>
      </c>
      <c r="T18" s="15">
        <v>115</v>
      </c>
      <c r="U18" s="15">
        <v>127</v>
      </c>
      <c r="V18" s="15">
        <v>153</v>
      </c>
      <c r="W18" s="15">
        <v>125</v>
      </c>
      <c r="X18" s="15">
        <f>104+24</f>
        <v>128</v>
      </c>
      <c r="Y18" s="15">
        <v>201</v>
      </c>
      <c r="Z18" s="15">
        <v>143</v>
      </c>
      <c r="AA18" s="15">
        <v>181</v>
      </c>
      <c r="AB18" s="15">
        <f>106+29+12</f>
        <v>147</v>
      </c>
      <c r="AC18" s="15">
        <v>205</v>
      </c>
      <c r="AD18" s="15">
        <v>127</v>
      </c>
      <c r="AE18" s="15">
        <v>245</v>
      </c>
      <c r="AF18" s="15">
        <v>281</v>
      </c>
      <c r="AG18" s="15">
        <v>360</v>
      </c>
      <c r="AH18" s="15">
        <v>323</v>
      </c>
      <c r="AI18" s="15">
        <v>242</v>
      </c>
      <c r="AJ18" s="15">
        <v>168</v>
      </c>
      <c r="AK18" s="15">
        <v>178</v>
      </c>
      <c r="AL18" s="15">
        <v>116</v>
      </c>
      <c r="AM18" s="15">
        <v>197</v>
      </c>
      <c r="AN18" s="15">
        <v>197</v>
      </c>
      <c r="AO18" s="15">
        <v>159</v>
      </c>
      <c r="AP18" s="15">
        <v>131</v>
      </c>
      <c r="AQ18" s="15">
        <v>183</v>
      </c>
      <c r="AR18" s="15">
        <v>194</v>
      </c>
      <c r="AS18" s="15">
        <v>173</v>
      </c>
    </row>
    <row r="19" spans="3:45" x14ac:dyDescent="0.2">
      <c r="C19" s="61" t="s">
        <v>25</v>
      </c>
      <c r="D19" s="30">
        <v>4.4000000000000004</v>
      </c>
      <c r="E19" s="30">
        <v>1.8</v>
      </c>
      <c r="F19" s="30">
        <v>4.8</v>
      </c>
      <c r="G19" s="30">
        <v>3</v>
      </c>
      <c r="H19" s="30">
        <v>2.5</v>
      </c>
      <c r="I19" s="30">
        <v>5</v>
      </c>
      <c r="J19" s="30">
        <v>0.8</v>
      </c>
      <c r="K19" s="30">
        <v>3.4</v>
      </c>
      <c r="L19" s="30">
        <v>4.5</v>
      </c>
      <c r="M19" s="30">
        <v>3.9</v>
      </c>
      <c r="N19" s="30">
        <v>1.2</v>
      </c>
      <c r="O19" s="30">
        <v>6.2</v>
      </c>
      <c r="P19" s="30">
        <v>1.2</v>
      </c>
      <c r="Q19" s="30">
        <v>1.8</v>
      </c>
      <c r="R19" s="30">
        <v>1.6</v>
      </c>
      <c r="S19" s="30">
        <v>1.1000000000000001</v>
      </c>
      <c r="T19" s="30">
        <v>14.881959569999999</v>
      </c>
      <c r="U19" s="30">
        <v>3.63106609</v>
      </c>
      <c r="V19" s="30">
        <v>3.3</v>
      </c>
      <c r="W19" s="30">
        <v>6.1</v>
      </c>
      <c r="X19" s="30">
        <v>2.2999999999999998</v>
      </c>
      <c r="Y19" s="30">
        <v>7.4</v>
      </c>
      <c r="Z19" s="30">
        <v>2.2999999999999998</v>
      </c>
      <c r="AA19" s="30">
        <v>0.8</v>
      </c>
      <c r="AB19" s="30">
        <v>4.05</v>
      </c>
      <c r="AC19" s="30">
        <v>1.7011350000000001</v>
      </c>
      <c r="AD19" s="30">
        <v>1.9</v>
      </c>
      <c r="AE19" s="30">
        <v>1.4</v>
      </c>
      <c r="AF19" s="30">
        <f>('[1]2006'!$E$24+'[1]2006'!$G$24)/1000000</f>
        <v>119.08468000000001</v>
      </c>
      <c r="AG19" s="30">
        <v>23.3</v>
      </c>
      <c r="AH19" s="30">
        <v>76.2</v>
      </c>
      <c r="AI19" s="30">
        <v>19.5</v>
      </c>
      <c r="AJ19" s="30">
        <v>9.1970690000000008</v>
      </c>
      <c r="AK19" s="30">
        <v>25.8</v>
      </c>
      <c r="AL19" s="30">
        <v>11.9</v>
      </c>
      <c r="AM19" s="30">
        <v>38.700000000000003</v>
      </c>
      <c r="AN19" s="30">
        <v>38.700000000000003</v>
      </c>
      <c r="AO19" s="30">
        <v>29.071166000000002</v>
      </c>
      <c r="AP19" s="30">
        <v>19.8</v>
      </c>
      <c r="AQ19" s="30">
        <v>16</v>
      </c>
      <c r="AR19" s="30">
        <v>32</v>
      </c>
      <c r="AS19" s="30">
        <v>36</v>
      </c>
    </row>
    <row r="20" spans="3:45" x14ac:dyDescent="0.2">
      <c r="C20" s="61" t="s">
        <v>37</v>
      </c>
      <c r="D20" s="30">
        <f t="shared" ref="D20:W20" si="2">D19*1000/D18</f>
        <v>61.111111111111114</v>
      </c>
      <c r="E20" s="30">
        <f t="shared" si="2"/>
        <v>48.648648648648646</v>
      </c>
      <c r="F20" s="30">
        <f t="shared" si="2"/>
        <v>82.758620689655174</v>
      </c>
      <c r="G20" s="30">
        <f t="shared" si="2"/>
        <v>120</v>
      </c>
      <c r="H20" s="30">
        <f t="shared" si="2"/>
        <v>166.66666666666666</v>
      </c>
      <c r="I20" s="30">
        <f t="shared" si="2"/>
        <v>238.0952380952381</v>
      </c>
      <c r="J20" s="30">
        <f t="shared" si="2"/>
        <v>72.727272727272734</v>
      </c>
      <c r="K20" s="30">
        <f t="shared" si="2"/>
        <v>154.54545454545453</v>
      </c>
      <c r="L20" s="30">
        <f t="shared" si="2"/>
        <v>173.07692307692307</v>
      </c>
      <c r="M20" s="30">
        <f t="shared" si="2"/>
        <v>88.63636363636364</v>
      </c>
      <c r="N20" s="30">
        <f t="shared" si="2"/>
        <v>44.444444444444443</v>
      </c>
      <c r="O20" s="30">
        <f t="shared" si="2"/>
        <v>87.323943661971825</v>
      </c>
      <c r="P20" s="30">
        <f t="shared" si="2"/>
        <v>10.714285714285714</v>
      </c>
      <c r="Q20" s="30">
        <f t="shared" si="2"/>
        <v>18.556701030927837</v>
      </c>
      <c r="R20" s="30">
        <f t="shared" si="2"/>
        <v>20</v>
      </c>
      <c r="S20" s="30">
        <f t="shared" si="2"/>
        <v>16.666666666666668</v>
      </c>
      <c r="T20" s="30">
        <f t="shared" si="2"/>
        <v>129.4083440869565</v>
      </c>
      <c r="U20" s="30">
        <f t="shared" si="2"/>
        <v>28.591071574803149</v>
      </c>
      <c r="V20" s="30">
        <f t="shared" si="2"/>
        <v>21.568627450980394</v>
      </c>
      <c r="W20" s="30">
        <f t="shared" si="2"/>
        <v>48.8</v>
      </c>
      <c r="X20" s="30">
        <f t="shared" ref="X20:AR20" si="3">(X19*1000)/X18</f>
        <v>17.96875</v>
      </c>
      <c r="Y20" s="30">
        <f t="shared" si="3"/>
        <v>36.815920398009951</v>
      </c>
      <c r="Z20" s="30">
        <f t="shared" si="3"/>
        <v>16.083916083916083</v>
      </c>
      <c r="AA20" s="30">
        <f t="shared" si="3"/>
        <v>4.4198895027624312</v>
      </c>
      <c r="AB20" s="30">
        <f t="shared" si="3"/>
        <v>27.551020408163264</v>
      </c>
      <c r="AC20" s="30">
        <f t="shared" si="3"/>
        <v>8.2982195121951214</v>
      </c>
      <c r="AD20" s="30">
        <f t="shared" si="3"/>
        <v>14.960629921259843</v>
      </c>
      <c r="AE20" s="30">
        <f t="shared" si="3"/>
        <v>5.7142857142857144</v>
      </c>
      <c r="AF20" s="30">
        <f t="shared" si="3"/>
        <v>423.78889679715303</v>
      </c>
      <c r="AG20" s="30">
        <f t="shared" si="3"/>
        <v>64.722222222222229</v>
      </c>
      <c r="AH20" s="30">
        <f t="shared" si="3"/>
        <v>235.91331269349845</v>
      </c>
      <c r="AI20" s="30">
        <f t="shared" si="3"/>
        <v>80.578512396694208</v>
      </c>
      <c r="AJ20" s="30">
        <f t="shared" si="3"/>
        <v>54.744458333333341</v>
      </c>
      <c r="AK20" s="30">
        <f t="shared" si="3"/>
        <v>144.9438202247191</v>
      </c>
      <c r="AL20" s="30">
        <f t="shared" si="3"/>
        <v>102.58620689655173</v>
      </c>
      <c r="AM20" s="30">
        <f t="shared" si="3"/>
        <v>196.44670050761422</v>
      </c>
      <c r="AN20" s="30">
        <f t="shared" si="3"/>
        <v>196.44670050761422</v>
      </c>
      <c r="AO20" s="30">
        <f t="shared" si="3"/>
        <v>182.83752201257863</v>
      </c>
      <c r="AP20" s="30">
        <f t="shared" si="3"/>
        <v>151.14503816793894</v>
      </c>
      <c r="AQ20" s="30">
        <f t="shared" si="3"/>
        <v>87.431693989071036</v>
      </c>
      <c r="AR20" s="30">
        <f t="shared" si="3"/>
        <v>164.94845360824743</v>
      </c>
      <c r="AS20" s="30">
        <v>208.1</v>
      </c>
    </row>
    <row r="21" spans="3:45" x14ac:dyDescent="0.2">
      <c r="C21" s="6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</row>
    <row r="22" spans="3:45" x14ac:dyDescent="0.2">
      <c r="C22" s="62" t="s">
        <v>42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Y22" s="15"/>
    </row>
    <row r="23" spans="3:45" x14ac:dyDescent="0.2">
      <c r="C23" s="61" t="s">
        <v>24</v>
      </c>
      <c r="D23" s="15">
        <v>72</v>
      </c>
      <c r="E23" s="15">
        <v>37</v>
      </c>
      <c r="F23" s="15">
        <v>58</v>
      </c>
      <c r="G23" s="15">
        <v>25</v>
      </c>
      <c r="H23" s="15">
        <v>15</v>
      </c>
      <c r="I23" s="15">
        <v>21</v>
      </c>
      <c r="J23" s="15">
        <v>11</v>
      </c>
      <c r="K23" s="15">
        <v>22</v>
      </c>
      <c r="L23" s="15">
        <v>26</v>
      </c>
      <c r="M23" s="15">
        <v>44</v>
      </c>
      <c r="N23" s="15">
        <v>27</v>
      </c>
      <c r="O23" s="15">
        <v>71</v>
      </c>
      <c r="P23" s="15">
        <v>112</v>
      </c>
      <c r="Q23" s="15">
        <v>97</v>
      </c>
      <c r="R23" s="15">
        <v>80</v>
      </c>
      <c r="S23" s="15">
        <v>66</v>
      </c>
      <c r="T23" s="15">
        <v>115</v>
      </c>
      <c r="U23" s="15">
        <v>127</v>
      </c>
      <c r="V23" s="15">
        <v>153</v>
      </c>
      <c r="W23" s="15">
        <v>125</v>
      </c>
      <c r="X23" s="15">
        <f>104+24</f>
        <v>128</v>
      </c>
      <c r="Y23" s="15">
        <v>201</v>
      </c>
      <c r="Z23" s="15">
        <v>143</v>
      </c>
      <c r="AA23" s="15">
        <v>181</v>
      </c>
      <c r="AB23" s="15">
        <f>106+29+12</f>
        <v>147</v>
      </c>
      <c r="AC23" s="15">
        <v>205</v>
      </c>
      <c r="AD23" s="15">
        <v>127</v>
      </c>
      <c r="AE23" s="15">
        <v>245</v>
      </c>
      <c r="AF23" s="15">
        <v>281</v>
      </c>
      <c r="AG23" s="15">
        <v>360</v>
      </c>
      <c r="AH23" s="15">
        <v>323</v>
      </c>
      <c r="AI23" s="15">
        <v>242</v>
      </c>
      <c r="AJ23" s="15">
        <v>1787</v>
      </c>
      <c r="AK23" s="15">
        <v>1886</v>
      </c>
      <c r="AL23" s="15">
        <v>1812</v>
      </c>
      <c r="AM23" s="15">
        <v>1766</v>
      </c>
      <c r="AN23" s="15">
        <v>1766</v>
      </c>
      <c r="AO23" s="15">
        <v>1878</v>
      </c>
      <c r="AP23" s="15">
        <v>1918</v>
      </c>
      <c r="AQ23" s="15">
        <v>1975</v>
      </c>
      <c r="AR23" s="15">
        <v>2069</v>
      </c>
      <c r="AS23" s="15">
        <v>2243</v>
      </c>
    </row>
    <row r="24" spans="3:45" x14ac:dyDescent="0.2">
      <c r="C24" s="61" t="s">
        <v>25</v>
      </c>
      <c r="D24" s="30">
        <v>4.4000000000000004</v>
      </c>
      <c r="E24" s="30">
        <v>1.8</v>
      </c>
      <c r="F24" s="30">
        <v>4.8</v>
      </c>
      <c r="G24" s="30">
        <v>3</v>
      </c>
      <c r="H24" s="30">
        <v>2.5</v>
      </c>
      <c r="I24" s="30">
        <v>5</v>
      </c>
      <c r="J24" s="30">
        <v>0.8</v>
      </c>
      <c r="K24" s="30">
        <v>3.4</v>
      </c>
      <c r="L24" s="30">
        <v>4.5</v>
      </c>
      <c r="M24" s="30">
        <v>3.9</v>
      </c>
      <c r="N24" s="30">
        <v>1.2</v>
      </c>
      <c r="O24" s="30">
        <v>6.2</v>
      </c>
      <c r="P24" s="30">
        <v>1.2</v>
      </c>
      <c r="Q24" s="30">
        <v>1.8</v>
      </c>
      <c r="R24" s="30">
        <v>1.6</v>
      </c>
      <c r="S24" s="30">
        <v>1.1000000000000001</v>
      </c>
      <c r="T24" s="30">
        <v>14.881959569999999</v>
      </c>
      <c r="U24" s="30">
        <v>3.63106609</v>
      </c>
      <c r="V24" s="30">
        <v>3.3</v>
      </c>
      <c r="W24" s="30">
        <v>6.1</v>
      </c>
      <c r="X24" s="30">
        <v>2.2999999999999998</v>
      </c>
      <c r="Y24" s="30">
        <v>7.4</v>
      </c>
      <c r="Z24" s="30">
        <v>2.2999999999999998</v>
      </c>
      <c r="AA24" s="30">
        <v>0.8</v>
      </c>
      <c r="AB24" s="30">
        <v>4.05</v>
      </c>
      <c r="AC24" s="30">
        <v>1.7011350000000001</v>
      </c>
      <c r="AD24" s="30">
        <v>1.9</v>
      </c>
      <c r="AE24" s="30">
        <v>1.4</v>
      </c>
      <c r="AF24" s="30">
        <f>('[1]2006'!$E$24+'[1]2006'!$G$24)/1000000</f>
        <v>119.08468000000001</v>
      </c>
      <c r="AG24" s="30">
        <v>23.3</v>
      </c>
      <c r="AH24" s="30">
        <v>76.2</v>
      </c>
      <c r="AI24" s="30">
        <v>19.5</v>
      </c>
      <c r="AJ24" s="30">
        <v>316.39999999999998</v>
      </c>
      <c r="AK24" s="30">
        <v>657.9</v>
      </c>
      <c r="AL24" s="30">
        <v>430</v>
      </c>
      <c r="AM24" s="30">
        <v>577.5</v>
      </c>
      <c r="AN24" s="30">
        <v>38.700000000000003</v>
      </c>
      <c r="AO24" s="30">
        <v>562.79999999999995</v>
      </c>
      <c r="AP24" s="30">
        <v>612.20000000000005</v>
      </c>
      <c r="AQ24" s="30">
        <v>860.3</v>
      </c>
      <c r="AR24" s="30">
        <v>830</v>
      </c>
      <c r="AS24" s="30">
        <v>891.8</v>
      </c>
    </row>
    <row r="25" spans="3:45" x14ac:dyDescent="0.2">
      <c r="C25" s="61" t="s">
        <v>37</v>
      </c>
      <c r="D25" s="30">
        <f t="shared" ref="D25:W25" si="4">D24*1000/D23</f>
        <v>61.111111111111114</v>
      </c>
      <c r="E25" s="30">
        <f t="shared" si="4"/>
        <v>48.648648648648646</v>
      </c>
      <c r="F25" s="30">
        <f t="shared" si="4"/>
        <v>82.758620689655174</v>
      </c>
      <c r="G25" s="30">
        <f t="shared" si="4"/>
        <v>120</v>
      </c>
      <c r="H25" s="30">
        <f t="shared" si="4"/>
        <v>166.66666666666666</v>
      </c>
      <c r="I25" s="30">
        <f t="shared" si="4"/>
        <v>238.0952380952381</v>
      </c>
      <c r="J25" s="30">
        <f t="shared" si="4"/>
        <v>72.727272727272734</v>
      </c>
      <c r="K25" s="30">
        <f t="shared" si="4"/>
        <v>154.54545454545453</v>
      </c>
      <c r="L25" s="30">
        <f t="shared" si="4"/>
        <v>173.07692307692307</v>
      </c>
      <c r="M25" s="30">
        <f t="shared" si="4"/>
        <v>88.63636363636364</v>
      </c>
      <c r="N25" s="30">
        <f t="shared" si="4"/>
        <v>44.444444444444443</v>
      </c>
      <c r="O25" s="30">
        <f t="shared" si="4"/>
        <v>87.323943661971825</v>
      </c>
      <c r="P25" s="30">
        <f t="shared" si="4"/>
        <v>10.714285714285714</v>
      </c>
      <c r="Q25" s="30">
        <f t="shared" si="4"/>
        <v>18.556701030927837</v>
      </c>
      <c r="R25" s="30">
        <f t="shared" si="4"/>
        <v>20</v>
      </c>
      <c r="S25" s="30">
        <f t="shared" si="4"/>
        <v>16.666666666666668</v>
      </c>
      <c r="T25" s="30">
        <f t="shared" si="4"/>
        <v>129.4083440869565</v>
      </c>
      <c r="U25" s="30">
        <f t="shared" si="4"/>
        <v>28.591071574803149</v>
      </c>
      <c r="V25" s="30">
        <f t="shared" si="4"/>
        <v>21.568627450980394</v>
      </c>
      <c r="W25" s="30">
        <f t="shared" si="4"/>
        <v>48.8</v>
      </c>
      <c r="X25" s="30">
        <f t="shared" ref="X25:AR25" si="5">(X24*1000)/X23</f>
        <v>17.96875</v>
      </c>
      <c r="Y25" s="30">
        <f t="shared" si="5"/>
        <v>36.815920398009951</v>
      </c>
      <c r="Z25" s="30">
        <f t="shared" si="5"/>
        <v>16.083916083916083</v>
      </c>
      <c r="AA25" s="30">
        <f t="shared" si="5"/>
        <v>4.4198895027624312</v>
      </c>
      <c r="AB25" s="30">
        <f t="shared" si="5"/>
        <v>27.551020408163264</v>
      </c>
      <c r="AC25" s="30">
        <f t="shared" si="5"/>
        <v>8.2982195121951214</v>
      </c>
      <c r="AD25" s="30">
        <f t="shared" si="5"/>
        <v>14.960629921259843</v>
      </c>
      <c r="AE25" s="30">
        <f t="shared" si="5"/>
        <v>5.7142857142857144</v>
      </c>
      <c r="AF25" s="30">
        <f t="shared" si="5"/>
        <v>423.78889679715303</v>
      </c>
      <c r="AG25" s="30">
        <f t="shared" si="5"/>
        <v>64.722222222222229</v>
      </c>
      <c r="AH25" s="30">
        <f t="shared" si="5"/>
        <v>235.91331269349845</v>
      </c>
      <c r="AI25" s="30">
        <f t="shared" si="5"/>
        <v>80.578512396694208</v>
      </c>
      <c r="AJ25" s="30">
        <f t="shared" si="5"/>
        <v>177.0565193060996</v>
      </c>
      <c r="AK25" s="30">
        <f t="shared" si="5"/>
        <v>348.83351007423119</v>
      </c>
      <c r="AL25" s="30">
        <f t="shared" si="5"/>
        <v>237.30684326710818</v>
      </c>
      <c r="AM25" s="30">
        <f t="shared" si="5"/>
        <v>327.01019252548133</v>
      </c>
      <c r="AN25" s="30">
        <f t="shared" si="5"/>
        <v>21.913929784824461</v>
      </c>
      <c r="AO25" s="30">
        <f t="shared" si="5"/>
        <v>299.6805111821086</v>
      </c>
      <c r="AP25" s="30">
        <f t="shared" si="5"/>
        <v>319.18665276329511</v>
      </c>
      <c r="AQ25" s="30">
        <f t="shared" si="5"/>
        <v>435.59493670886076</v>
      </c>
      <c r="AR25" s="30">
        <f t="shared" si="5"/>
        <v>401.15998066698887</v>
      </c>
      <c r="AS25" s="30">
        <v>397.6</v>
      </c>
    </row>
    <row r="26" spans="3:45" x14ac:dyDescent="0.2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Y26" s="15"/>
    </row>
    <row r="27" spans="3:45" x14ac:dyDescent="0.2">
      <c r="C27" s="2" t="s">
        <v>27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Y27" s="15"/>
      <c r="AM27" s="54"/>
      <c r="AN27" s="54"/>
      <c r="AO27" s="54"/>
      <c r="AP27" s="54"/>
      <c r="AQ27" s="54"/>
      <c r="AR27" s="54"/>
      <c r="AS27" s="54"/>
    </row>
    <row r="28" spans="3:45" x14ac:dyDescent="0.2">
      <c r="C28" s="61" t="s">
        <v>25</v>
      </c>
      <c r="D28" s="30">
        <v>1.5</v>
      </c>
      <c r="E28" s="30">
        <v>3.2</v>
      </c>
      <c r="F28" s="30">
        <v>5.3</v>
      </c>
      <c r="G28" s="30">
        <v>6</v>
      </c>
      <c r="H28" s="30">
        <v>5.4</v>
      </c>
      <c r="I28" s="30">
        <v>5.7</v>
      </c>
      <c r="J28" s="30">
        <v>5.5</v>
      </c>
      <c r="K28" s="30">
        <v>5.6</v>
      </c>
      <c r="L28" s="30">
        <v>5.9</v>
      </c>
      <c r="M28" s="30">
        <v>9.1999999999999993</v>
      </c>
      <c r="N28" s="30">
        <v>12.3</v>
      </c>
      <c r="O28" s="30">
        <v>11.9</v>
      </c>
      <c r="P28" s="30">
        <v>11.33</v>
      </c>
      <c r="Q28" s="30">
        <v>14.2</v>
      </c>
      <c r="R28" s="30">
        <v>11</v>
      </c>
      <c r="S28" s="30">
        <v>12.4</v>
      </c>
      <c r="T28" s="30">
        <v>15.634523700000001</v>
      </c>
      <c r="U28" s="30">
        <v>17.489614100000001</v>
      </c>
      <c r="V28" s="30">
        <v>22.898109999999999</v>
      </c>
      <c r="W28" s="30">
        <v>25.39</v>
      </c>
      <c r="X28" s="30">
        <v>31.11</v>
      </c>
      <c r="Y28" s="30">
        <v>29.4</v>
      </c>
      <c r="Z28" s="30">
        <v>25.9</v>
      </c>
      <c r="AA28" s="30">
        <v>19.100000000000001</v>
      </c>
      <c r="AB28" s="30">
        <v>16.63</v>
      </c>
      <c r="AC28" s="63">
        <v>20.100000000000001</v>
      </c>
      <c r="AD28" s="30">
        <v>21.9</v>
      </c>
      <c r="AE28" s="30">
        <v>28.38</v>
      </c>
      <c r="AF28" s="30">
        <v>57.7</v>
      </c>
      <c r="AG28" s="30">
        <v>46.2</v>
      </c>
      <c r="AH28" s="30">
        <v>53.4</v>
      </c>
      <c r="AI28" s="30">
        <f>30104889/1000000</f>
        <v>30.104889</v>
      </c>
      <c r="AJ28" s="30">
        <f>23798250/1000000</f>
        <v>23.798249999999999</v>
      </c>
      <c r="AK28" s="30">
        <v>37.404409999999999</v>
      </c>
      <c r="AL28" s="30">
        <v>37.299999999999997</v>
      </c>
      <c r="AM28" s="30">
        <v>33.585594999999998</v>
      </c>
      <c r="AN28" s="30">
        <v>33.585594999999998</v>
      </c>
      <c r="AO28" s="30">
        <v>36.132066000000002</v>
      </c>
      <c r="AP28" s="30">
        <v>45.5</v>
      </c>
      <c r="AQ28" s="30">
        <v>56.1</v>
      </c>
      <c r="AR28" s="30">
        <v>58.8</v>
      </c>
      <c r="AS28" s="30">
        <v>80.7</v>
      </c>
    </row>
    <row r="29" spans="3:45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1" spans="3:45" x14ac:dyDescent="0.2">
      <c r="C31" s="2" t="s">
        <v>28</v>
      </c>
    </row>
    <row r="32" spans="3:45" ht="12.75" customHeight="1" x14ac:dyDescent="0.2">
      <c r="C32" s="81" t="s">
        <v>32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</row>
    <row r="33" spans="1:45" ht="28.5" customHeight="1" x14ac:dyDescent="0.2"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</row>
    <row r="34" spans="1:45" ht="18.75" customHeight="1" x14ac:dyDescent="0.2">
      <c r="C34" s="1" t="s">
        <v>30</v>
      </c>
    </row>
    <row r="35" spans="1:45" s="17" customFormat="1" ht="28.5" customHeight="1" x14ac:dyDescent="0.2">
      <c r="C35" s="81" t="s">
        <v>38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</row>
    <row r="37" spans="1:45" ht="15.75" customHeight="1" x14ac:dyDescent="0.2"/>
    <row r="38" spans="1:45" ht="15.75" customHeight="1" x14ac:dyDescent="0.2">
      <c r="A38" s="13" t="s">
        <v>43</v>
      </c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83" t="s">
        <v>46</v>
      </c>
      <c r="AK38" s="83"/>
      <c r="AL38" s="83"/>
      <c r="AM38" s="83"/>
      <c r="AN38" s="83"/>
      <c r="AO38" s="83"/>
      <c r="AP38" s="83"/>
      <c r="AQ38" s="83"/>
      <c r="AR38" s="83"/>
      <c r="AS38" s="83"/>
    </row>
    <row r="39" spans="1:45" x14ac:dyDescent="0.2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10">
        <v>2010</v>
      </c>
      <c r="AK39" s="10">
        <v>2011</v>
      </c>
      <c r="AL39" s="10">
        <v>2012</v>
      </c>
      <c r="AM39" s="10">
        <v>2013</v>
      </c>
      <c r="AN39" s="10"/>
      <c r="AO39" s="10">
        <v>2014</v>
      </c>
      <c r="AP39" s="10">
        <v>2015</v>
      </c>
      <c r="AQ39" s="10">
        <v>2016</v>
      </c>
      <c r="AR39" s="10">
        <v>2017</v>
      </c>
      <c r="AS39" s="10">
        <v>2018</v>
      </c>
    </row>
    <row r="40" spans="1:45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spans="1:45" x14ac:dyDescent="0.2">
      <c r="C41" s="61" t="s">
        <v>24</v>
      </c>
      <c r="D41" s="15">
        <v>957</v>
      </c>
      <c r="E41" s="15">
        <v>941</v>
      </c>
      <c r="F41" s="15">
        <v>1198</v>
      </c>
      <c r="G41" s="15">
        <v>1288</v>
      </c>
      <c r="H41" s="15">
        <v>1282</v>
      </c>
      <c r="I41" s="15">
        <v>1260</v>
      </c>
      <c r="J41" s="15">
        <v>1123</v>
      </c>
      <c r="K41" s="15">
        <v>1005</v>
      </c>
      <c r="L41" s="15">
        <v>1046</v>
      </c>
      <c r="M41" s="15">
        <v>1844</v>
      </c>
      <c r="N41" s="15">
        <v>1863</v>
      </c>
      <c r="O41" s="15">
        <v>1991</v>
      </c>
      <c r="P41" s="15">
        <v>2134</v>
      </c>
      <c r="Q41" s="15">
        <v>2286</v>
      </c>
      <c r="R41" s="15">
        <v>2086</v>
      </c>
      <c r="S41" s="15">
        <v>1970</v>
      </c>
      <c r="T41" s="15">
        <v>2120</v>
      </c>
      <c r="U41" s="15">
        <v>1961</v>
      </c>
      <c r="V41" s="15">
        <v>2614</v>
      </c>
      <c r="W41" s="15">
        <v>2948</v>
      </c>
      <c r="X41" s="15">
        <v>3369</v>
      </c>
      <c r="Y41" s="15">
        <v>3320</v>
      </c>
      <c r="Z41" s="15">
        <v>2776</v>
      </c>
      <c r="AA41" s="15">
        <v>2887</v>
      </c>
      <c r="AB41" s="15">
        <v>2660</v>
      </c>
      <c r="AC41" s="15">
        <v>3539</v>
      </c>
      <c r="AD41" s="15">
        <v>2974</v>
      </c>
      <c r="AE41" s="15">
        <v>3351</v>
      </c>
      <c r="AF41" s="15">
        <v>4526</v>
      </c>
      <c r="AG41" s="15">
        <v>4391</v>
      </c>
      <c r="AH41" s="15">
        <v>4077</v>
      </c>
      <c r="AI41" s="15">
        <v>3935</v>
      </c>
      <c r="AJ41" s="15">
        <v>3777</v>
      </c>
      <c r="AK41" s="15">
        <v>2332</v>
      </c>
      <c r="AL41" s="15">
        <v>1731</v>
      </c>
      <c r="AM41" s="15">
        <v>1781</v>
      </c>
      <c r="AN41" s="15">
        <v>1781</v>
      </c>
      <c r="AO41" s="15">
        <v>2324</v>
      </c>
      <c r="AP41" s="15">
        <v>2391</v>
      </c>
      <c r="AQ41" s="15">
        <v>2133</v>
      </c>
      <c r="AR41" s="15">
        <v>2497</v>
      </c>
      <c r="AS41" s="15">
        <v>2464</v>
      </c>
    </row>
    <row r="42" spans="1:45" x14ac:dyDescent="0.2">
      <c r="C42" s="61" t="s">
        <v>25</v>
      </c>
      <c r="D42" s="30">
        <v>16.8</v>
      </c>
      <c r="E42" s="30">
        <v>20.2</v>
      </c>
      <c r="F42" s="30">
        <v>29.7</v>
      </c>
      <c r="G42" s="30">
        <v>69.7</v>
      </c>
      <c r="H42" s="30">
        <v>46.6</v>
      </c>
      <c r="I42" s="30">
        <v>60.7</v>
      </c>
      <c r="J42" s="30">
        <v>49.3</v>
      </c>
      <c r="K42" s="30">
        <v>37.4</v>
      </c>
      <c r="L42" s="30">
        <v>39.1</v>
      </c>
      <c r="M42" s="30">
        <v>66.400000000000006</v>
      </c>
      <c r="N42" s="30">
        <v>90.7</v>
      </c>
      <c r="O42" s="30">
        <v>76.2</v>
      </c>
      <c r="P42" s="30">
        <v>80.7</v>
      </c>
      <c r="Q42" s="30">
        <v>86.8</v>
      </c>
      <c r="R42" s="30">
        <v>132.30000000000001</v>
      </c>
      <c r="S42" s="30">
        <v>104.3</v>
      </c>
      <c r="T42" s="30">
        <v>111.83770163</v>
      </c>
      <c r="U42" s="30">
        <v>108.52196290000001</v>
      </c>
      <c r="V42" s="30">
        <v>165.6</v>
      </c>
      <c r="W42" s="30">
        <v>205.1</v>
      </c>
      <c r="X42" s="30">
        <v>264.77</v>
      </c>
      <c r="Y42" s="30">
        <v>239.3</v>
      </c>
      <c r="Z42" s="30">
        <v>240.9</v>
      </c>
      <c r="AA42" s="30">
        <v>192.8</v>
      </c>
      <c r="AB42" s="30">
        <v>183.87</v>
      </c>
      <c r="AC42" s="51">
        <v>285.60000000000002</v>
      </c>
      <c r="AD42" s="30">
        <v>334.7</v>
      </c>
      <c r="AE42" s="30">
        <v>317.44</v>
      </c>
      <c r="AF42" s="30">
        <v>632.20000000000005</v>
      </c>
      <c r="AG42" s="30">
        <v>537</v>
      </c>
      <c r="AH42" s="30">
        <v>494.4</v>
      </c>
      <c r="AI42" s="30">
        <v>594.68712400000004</v>
      </c>
      <c r="AJ42" s="30">
        <v>493.65523999999999</v>
      </c>
      <c r="AK42" s="30">
        <v>306.59252400000003</v>
      </c>
      <c r="AL42" s="30">
        <v>237.5</v>
      </c>
      <c r="AM42" s="30">
        <v>263.85769499999998</v>
      </c>
      <c r="AN42" s="30">
        <v>263.85769499999998</v>
      </c>
      <c r="AO42" s="30">
        <v>306.62635799999998</v>
      </c>
      <c r="AP42" s="30">
        <v>262.393621</v>
      </c>
      <c r="AQ42" s="30">
        <v>217.8</v>
      </c>
      <c r="AR42" s="30">
        <v>383</v>
      </c>
      <c r="AS42" s="30">
        <v>295.39999999999998</v>
      </c>
    </row>
    <row r="43" spans="1:45" x14ac:dyDescent="0.2">
      <c r="C43" s="66" t="s">
        <v>37</v>
      </c>
      <c r="D43" s="52">
        <f t="shared" ref="D43:W43" si="6">D42*1000/D41</f>
        <v>17.554858934169278</v>
      </c>
      <c r="E43" s="52">
        <f t="shared" si="6"/>
        <v>21.46652497343252</v>
      </c>
      <c r="F43" s="52">
        <f t="shared" si="6"/>
        <v>24.791318864774624</v>
      </c>
      <c r="G43" s="52">
        <f t="shared" si="6"/>
        <v>54.114906832298139</v>
      </c>
      <c r="H43" s="52">
        <f t="shared" si="6"/>
        <v>36.349453978159126</v>
      </c>
      <c r="I43" s="52">
        <f t="shared" si="6"/>
        <v>48.174603174603178</v>
      </c>
      <c r="J43" s="52">
        <f t="shared" si="6"/>
        <v>43.90026714158504</v>
      </c>
      <c r="K43" s="52">
        <f t="shared" si="6"/>
        <v>37.213930348258707</v>
      </c>
      <c r="L43" s="52">
        <f t="shared" si="6"/>
        <v>37.380497131931165</v>
      </c>
      <c r="M43" s="52">
        <f t="shared" si="6"/>
        <v>36.008676789587852</v>
      </c>
      <c r="N43" s="52">
        <f t="shared" si="6"/>
        <v>48.684916800858829</v>
      </c>
      <c r="O43" s="52">
        <f t="shared" si="6"/>
        <v>38.272225012556504</v>
      </c>
      <c r="P43" s="52">
        <f t="shared" si="6"/>
        <v>37.816307403936271</v>
      </c>
      <c r="Q43" s="52">
        <f t="shared" si="6"/>
        <v>37.970253718285214</v>
      </c>
      <c r="R43" s="52">
        <f t="shared" si="6"/>
        <v>63.422818791946305</v>
      </c>
      <c r="S43" s="52">
        <f t="shared" si="6"/>
        <v>52.944162436548226</v>
      </c>
      <c r="T43" s="52">
        <f t="shared" si="6"/>
        <v>52.75363284433962</v>
      </c>
      <c r="U43" s="52">
        <f t="shared" si="6"/>
        <v>55.340113666496684</v>
      </c>
      <c r="V43" s="52">
        <f t="shared" si="6"/>
        <v>63.351185921958681</v>
      </c>
      <c r="W43" s="52">
        <f t="shared" si="6"/>
        <v>69.572591587516968</v>
      </c>
      <c r="X43" s="52">
        <f t="shared" ref="X43:AG43" si="7">(X42*1000)/X41</f>
        <v>78.590086078955181</v>
      </c>
      <c r="Y43" s="52">
        <f t="shared" si="7"/>
        <v>72.078313253012041</v>
      </c>
      <c r="Z43" s="52">
        <f t="shared" si="7"/>
        <v>86.779538904899141</v>
      </c>
      <c r="AA43" s="52">
        <f t="shared" si="7"/>
        <v>66.782126775199174</v>
      </c>
      <c r="AB43" s="52">
        <f t="shared" si="7"/>
        <v>69.124060150375939</v>
      </c>
      <c r="AC43" s="52">
        <f t="shared" si="7"/>
        <v>80.700762927380623</v>
      </c>
      <c r="AD43" s="52">
        <f t="shared" si="7"/>
        <v>112.54203093476799</v>
      </c>
      <c r="AE43" s="52">
        <f t="shared" si="7"/>
        <v>94.72993136377201</v>
      </c>
      <c r="AF43" s="52">
        <f t="shared" si="7"/>
        <v>139.68183826778613</v>
      </c>
      <c r="AG43" s="52">
        <f t="shared" si="7"/>
        <v>122.29560464586655</v>
      </c>
      <c r="AH43" s="52">
        <v>121.3</v>
      </c>
      <c r="AI43" s="52">
        <f t="shared" ref="AI43:AP43" si="8">(AI42*1000)/AI41</f>
        <v>151.12760457433293</v>
      </c>
      <c r="AJ43" s="52">
        <f t="shared" si="8"/>
        <v>130.70035477892506</v>
      </c>
      <c r="AK43" s="52">
        <f t="shared" si="8"/>
        <v>131.47192281303603</v>
      </c>
      <c r="AL43" s="52">
        <f t="shared" si="8"/>
        <v>137.20392836510686</v>
      </c>
      <c r="AM43" s="52">
        <f t="shared" si="8"/>
        <v>148.15142897248737</v>
      </c>
      <c r="AN43" s="52">
        <f t="shared" si="8"/>
        <v>148.15142897248737</v>
      </c>
      <c r="AO43" s="52">
        <v>131.93905249569707</v>
      </c>
      <c r="AP43" s="52">
        <f t="shared" si="8"/>
        <v>109.74220869928899</v>
      </c>
      <c r="AQ43" s="52">
        <v>94.2</v>
      </c>
      <c r="AR43" s="52">
        <v>153.4</v>
      </c>
      <c r="AS43" s="52">
        <v>119.9</v>
      </c>
    </row>
    <row r="44" spans="1:45" x14ac:dyDescent="0.2"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</row>
    <row r="45" spans="1:45" ht="12.75" customHeight="1" x14ac:dyDescent="0.2">
      <c r="C45" s="81" t="s">
        <v>29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</row>
    <row r="46" spans="1:45" x14ac:dyDescent="0.2"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</row>
    <row r="47" spans="1:45" x14ac:dyDescent="0.2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</row>
    <row r="48" spans="1:45" x14ac:dyDescent="0.2">
      <c r="C48" s="16" t="s">
        <v>31</v>
      </c>
    </row>
    <row r="51" spans="3:37" ht="15" x14ac:dyDescent="0.25">
      <c r="AH51" s="41"/>
    </row>
    <row r="54" spans="3:37" x14ac:dyDescent="0.2"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</row>
    <row r="55" spans="3:37" ht="15" x14ac:dyDescent="0.25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</row>
  </sheetData>
  <mergeCells count="7">
    <mergeCell ref="C55:AK55"/>
    <mergeCell ref="AB4:AK4"/>
    <mergeCell ref="C32:AQ33"/>
    <mergeCell ref="C35:AQ35"/>
    <mergeCell ref="C45:AQ46"/>
    <mergeCell ref="AG7:AR7"/>
    <mergeCell ref="AJ38:AS38"/>
  </mergeCells>
  <pageMargins left="0.7" right="0.7" top="0.75" bottom="0.75" header="0.3" footer="0.3"/>
  <pageSetup scale="90" orientation="portrait" r:id="rId1"/>
  <colBreaks count="1" manualBreakCount="1">
    <brk id="10967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2</xdr:col>
                <xdr:colOff>314325</xdr:colOff>
                <xdr:row>4</xdr:row>
                <xdr:rowOff>38100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2019-10-22T17:42:34Z</dcterms:modified>
</cp:coreProperties>
</file>