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5.xml" ContentType="application/vnd.openxmlformats-officedocument.drawing+xml"/>
  <Override PartName="/xl/embeddings/oleObject6.bin" ContentType="application/vnd.openxmlformats-officedocument.oleObject"/>
  <Override PartName="/xl/drawings/drawing6.xml" ContentType="application/vnd.openxmlformats-officedocument.drawing+xml"/>
  <Override PartName="/xl/embeddings/oleObject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rnia_eu\Desktop\2021 Chapters\"/>
    </mc:Choice>
  </mc:AlternateContent>
  <bookViews>
    <workbookView xWindow="0" yWindow="0" windowWidth="28800" windowHeight="13635"/>
  </bookViews>
  <sheets>
    <sheet name=".01" sheetId="2" r:id="rId1"/>
    <sheet name=".02" sheetId="3" r:id="rId2"/>
    <sheet name=".03" sheetId="4" r:id="rId3"/>
    <sheet name=".04" sheetId="5" r:id="rId4"/>
    <sheet name=".05" sheetId="6" r:id="rId5"/>
    <sheet name=".06" sheetId="7" r:id="rId6"/>
  </sheets>
  <externalReferences>
    <externalReference r:id="rId7"/>
  </externalReferences>
  <definedNames>
    <definedName name="_xlnm.Print_Area" localSheetId="0">'.01'!$A$1:$K$69</definedName>
    <definedName name="_xlnm.Print_Area" localSheetId="1">'.02'!$A$1:$O$73</definedName>
    <definedName name="_xlnm.Print_Area" localSheetId="2">'.03'!$A$1:$L$63</definedName>
    <definedName name="_xlnm.Print_Area" localSheetId="4">'.05'!$A$1:$K$417</definedName>
    <definedName name="_xlnm.Print_Area" localSheetId="5">'.06'!$A$1:$H$72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4" l="1"/>
  <c r="K14" i="4"/>
  <c r="L14" i="4"/>
  <c r="M14" i="4"/>
  <c r="N14" i="4"/>
  <c r="O14" i="4"/>
  <c r="P14" i="4"/>
  <c r="Q14" i="4"/>
  <c r="F12" i="2"/>
  <c r="I12" i="2"/>
  <c r="F13" i="2"/>
  <c r="I13" i="2"/>
  <c r="J13" i="2"/>
  <c r="F14" i="2"/>
  <c r="I14" i="2"/>
  <c r="J14" i="2"/>
  <c r="F15" i="2"/>
  <c r="I15" i="2"/>
  <c r="J15" i="2"/>
  <c r="F16" i="2"/>
  <c r="I16" i="2"/>
  <c r="J16" i="2"/>
  <c r="E17" i="2"/>
  <c r="F17" i="2" s="1"/>
  <c r="H17" i="2"/>
  <c r="I17" i="2" s="1"/>
  <c r="H19" i="2"/>
  <c r="F20" i="2"/>
  <c r="H20" i="2"/>
  <c r="I21" i="2" s="1"/>
  <c r="F21" i="2"/>
  <c r="J21" i="2"/>
  <c r="F22" i="2"/>
  <c r="I22" i="2"/>
  <c r="J22" i="2"/>
  <c r="F23" i="2"/>
  <c r="I23" i="2"/>
  <c r="J23" i="2"/>
  <c r="F25" i="2"/>
  <c r="I25" i="2"/>
  <c r="J25" i="2"/>
  <c r="F26" i="2"/>
  <c r="I26" i="2"/>
  <c r="J26" i="2"/>
  <c r="F27" i="2"/>
  <c r="I27" i="2"/>
  <c r="J27" i="2"/>
  <c r="F28" i="2"/>
  <c r="I28" i="2"/>
  <c r="J28" i="2"/>
  <c r="F29" i="2"/>
  <c r="I29" i="2"/>
  <c r="J29" i="2"/>
  <c r="F31" i="2"/>
  <c r="I31" i="2"/>
  <c r="J31" i="2"/>
  <c r="F32" i="2"/>
  <c r="I32" i="2"/>
  <c r="J32" i="2"/>
  <c r="F33" i="2"/>
  <c r="I33" i="2"/>
  <c r="J33" i="2"/>
  <c r="F34" i="2"/>
  <c r="I34" i="2"/>
  <c r="J34" i="2"/>
  <c r="F35" i="2"/>
  <c r="I35" i="2"/>
  <c r="J35" i="2"/>
  <c r="F36" i="2"/>
  <c r="I36" i="2"/>
  <c r="J36" i="2"/>
  <c r="F37" i="2"/>
  <c r="I37" i="2"/>
  <c r="J37" i="2"/>
  <c r="F38" i="2"/>
  <c r="I38" i="2"/>
  <c r="J38" i="2"/>
  <c r="F39" i="2"/>
  <c r="I39" i="2"/>
  <c r="J39" i="2"/>
  <c r="F40" i="2"/>
  <c r="I40" i="2"/>
  <c r="J40" i="2"/>
  <c r="F41" i="2"/>
  <c r="I41" i="2"/>
  <c r="J41" i="2"/>
  <c r="K39" i="2" l="1"/>
  <c r="K35" i="2"/>
  <c r="K31" i="2"/>
  <c r="K26" i="2"/>
  <c r="I19" i="2"/>
  <c r="K16" i="2"/>
  <c r="K14" i="2"/>
  <c r="K40" i="2"/>
  <c r="K36" i="2"/>
  <c r="K32" i="2"/>
  <c r="K27" i="2"/>
  <c r="K22" i="2"/>
  <c r="K41" i="2"/>
  <c r="K37" i="2"/>
  <c r="K33" i="2"/>
  <c r="K28" i="2"/>
  <c r="K23" i="2"/>
  <c r="K38" i="2"/>
  <c r="K34" i="2"/>
  <c r="K29" i="2"/>
  <c r="K25" i="2"/>
  <c r="K15" i="2"/>
  <c r="J20" i="2"/>
  <c r="K21" i="2" s="1"/>
  <c r="F19" i="2"/>
  <c r="J17" i="2"/>
  <c r="K17" i="2" s="1"/>
  <c r="I20" i="2"/>
  <c r="J19" i="2"/>
  <c r="G36" i="6"/>
  <c r="F36" i="6"/>
  <c r="R14" i="3"/>
  <c r="S17" i="3" s="1"/>
  <c r="K20" i="2" l="1"/>
  <c r="K19" i="2"/>
  <c r="K23" i="4"/>
  <c r="M17" i="4"/>
  <c r="Q17" i="4"/>
  <c r="S26" i="3"/>
  <c r="L14" i="3"/>
  <c r="P14" i="3"/>
  <c r="S35" i="3" l="1"/>
  <c r="S34" i="3"/>
  <c r="S33" i="3"/>
  <c r="S32" i="3"/>
  <c r="S31" i="3"/>
  <c r="S30" i="3"/>
  <c r="S29" i="3"/>
  <c r="S28" i="3"/>
  <c r="S27" i="3"/>
  <c r="N14" i="3"/>
  <c r="O17" i="3" s="1"/>
  <c r="O14" i="3" l="1"/>
  <c r="S38" i="3"/>
  <c r="S20" i="3"/>
  <c r="S14" i="3"/>
  <c r="S23" i="3"/>
  <c r="Q38" i="4"/>
  <c r="Q35" i="4"/>
  <c r="Q47" i="4"/>
  <c r="Q44" i="4"/>
  <c r="Q26" i="4"/>
  <c r="Q29" i="4"/>
  <c r="Q41" i="4"/>
  <c r="Q20" i="4"/>
  <c r="Q23" i="4"/>
  <c r="Q50" i="4"/>
  <c r="Q32" i="4"/>
  <c r="G35" i="6" l="1"/>
  <c r="Q35" i="3" l="1"/>
  <c r="Q34" i="3"/>
  <c r="Q33" i="3"/>
  <c r="Q32" i="3"/>
  <c r="Q31" i="3"/>
  <c r="Q30" i="3"/>
  <c r="Q29" i="3"/>
  <c r="Q28" i="3"/>
  <c r="Q27" i="3"/>
  <c r="G36" i="7"/>
  <c r="O26" i="4" l="1"/>
  <c r="O17" i="4"/>
  <c r="Q14" i="3"/>
  <c r="O32" i="4"/>
  <c r="O44" i="4"/>
  <c r="O20" i="4"/>
  <c r="O35" i="4"/>
  <c r="O47" i="4"/>
  <c r="O23" i="4"/>
  <c r="O38" i="4"/>
  <c r="O29" i="4"/>
  <c r="O41" i="4"/>
  <c r="F34" i="6"/>
  <c r="G34" i="6" s="1"/>
  <c r="O35" i="3"/>
  <c r="O34" i="3"/>
  <c r="O33" i="3"/>
  <c r="O32" i="3"/>
  <c r="O31" i="3"/>
  <c r="O30" i="3"/>
  <c r="O29" i="3"/>
  <c r="O28" i="3"/>
  <c r="O27" i="3"/>
  <c r="O20" i="3" l="1"/>
  <c r="O38" i="3"/>
  <c r="M29" i="4"/>
  <c r="M20" i="4"/>
  <c r="M32" i="4"/>
  <c r="M44" i="4"/>
  <c r="M23" i="4"/>
  <c r="M35" i="4"/>
  <c r="M47" i="4"/>
  <c r="M41" i="4"/>
  <c r="M26" i="4"/>
  <c r="M38" i="4"/>
  <c r="M50" i="4"/>
  <c r="O23" i="3"/>
  <c r="O26" i="3"/>
  <c r="F36" i="7" l="1"/>
  <c r="F33" i="6"/>
  <c r="G33" i="6" s="1"/>
  <c r="K41" i="4" l="1"/>
  <c r="K26" i="4"/>
  <c r="K50" i="4"/>
  <c r="K38" i="4"/>
  <c r="K47" i="4"/>
  <c r="K32" i="4"/>
  <c r="K20" i="4"/>
  <c r="K44" i="4"/>
  <c r="K29" i="4"/>
  <c r="K17" i="4"/>
  <c r="M35" i="3"/>
  <c r="M34" i="3"/>
  <c r="M33" i="3"/>
  <c r="M32" i="3"/>
  <c r="M31" i="3"/>
  <c r="M30" i="3"/>
  <c r="M29" i="3"/>
  <c r="M28" i="3"/>
  <c r="M27" i="3"/>
  <c r="M23" i="3" l="1"/>
  <c r="M14" i="3"/>
  <c r="M26" i="3"/>
  <c r="M38" i="3"/>
  <c r="M17" i="3"/>
  <c r="E27" i="3"/>
  <c r="E28" i="3"/>
  <c r="E29" i="3"/>
  <c r="E30" i="3"/>
  <c r="E31" i="3"/>
  <c r="E32" i="3"/>
  <c r="E33" i="3"/>
  <c r="E34" i="3"/>
  <c r="E35" i="3"/>
  <c r="G27" i="3"/>
  <c r="G28" i="3"/>
  <c r="G29" i="3"/>
  <c r="G30" i="3"/>
  <c r="G31" i="3"/>
  <c r="G32" i="3"/>
  <c r="G33" i="3"/>
  <c r="G34" i="3"/>
  <c r="G35" i="3"/>
  <c r="I27" i="3"/>
  <c r="I28" i="3"/>
  <c r="I29" i="3"/>
  <c r="I30" i="3"/>
  <c r="I31" i="3"/>
  <c r="I32" i="3"/>
  <c r="I33" i="3"/>
  <c r="I34" i="3"/>
  <c r="I35" i="3"/>
  <c r="F14" i="3"/>
  <c r="G38" i="3" s="1"/>
  <c r="D14" i="3"/>
  <c r="E23" i="3" s="1"/>
  <c r="H14" i="3"/>
  <c r="I23" i="3" s="1"/>
  <c r="J14" i="3"/>
  <c r="K38" i="3" s="1"/>
  <c r="E17" i="3" l="1"/>
  <c r="G20" i="3"/>
  <c r="E14" i="3"/>
  <c r="I17" i="3"/>
  <c r="E26" i="3"/>
  <c r="I26" i="3"/>
  <c r="E38" i="3"/>
  <c r="K20" i="3"/>
  <c r="G23" i="3"/>
  <c r="K23" i="3"/>
  <c r="E20" i="3"/>
  <c r="G17" i="3"/>
  <c r="G26" i="3"/>
  <c r="I20" i="3"/>
  <c r="K17" i="3"/>
  <c r="K26" i="3"/>
  <c r="I14" i="3"/>
  <c r="I38" i="3"/>
  <c r="G14" i="3"/>
  <c r="K14" i="3"/>
  <c r="E36" i="7"/>
  <c r="G32" i="6"/>
  <c r="H14" i="4"/>
  <c r="K35" i="3"/>
  <c r="K34" i="3"/>
  <c r="K33" i="3"/>
  <c r="K32" i="3"/>
  <c r="K31" i="3"/>
  <c r="K30" i="3"/>
  <c r="K29" i="3"/>
  <c r="K28" i="3"/>
  <c r="K27" i="3"/>
  <c r="D36" i="7"/>
  <c r="F31" i="6"/>
  <c r="G31" i="6"/>
  <c r="F14" i="4"/>
  <c r="G35" i="4" s="1"/>
  <c r="F30" i="6"/>
  <c r="G30" i="6" s="1"/>
  <c r="F29" i="6"/>
  <c r="G29" i="6" s="1"/>
  <c r="D14" i="4"/>
  <c r="E32" i="4" s="1"/>
  <c r="G28" i="6"/>
  <c r="F27" i="6"/>
  <c r="E27" i="6"/>
  <c r="F26" i="6"/>
  <c r="E26" i="6"/>
  <c r="F25" i="6"/>
  <c r="E25" i="6"/>
  <c r="F24" i="6"/>
  <c r="E24" i="6"/>
  <c r="F23" i="6"/>
  <c r="E23" i="6"/>
  <c r="F22" i="6"/>
  <c r="E22" i="6"/>
  <c r="G22" i="6" s="1"/>
  <c r="F21" i="6"/>
  <c r="E21" i="6"/>
  <c r="F18" i="6"/>
  <c r="E18" i="6"/>
  <c r="F17" i="6"/>
  <c r="E17" i="6"/>
  <c r="F16" i="6"/>
  <c r="E16" i="6"/>
  <c r="F15" i="6"/>
  <c r="G15" i="6" s="1"/>
  <c r="E15" i="6"/>
  <c r="G14" i="6"/>
  <c r="F14" i="6"/>
  <c r="B7" i="4"/>
  <c r="I41" i="4" l="1"/>
  <c r="I14" i="4"/>
  <c r="G23" i="4"/>
  <c r="G44" i="4"/>
  <c r="G32" i="4"/>
  <c r="E26" i="4"/>
  <c r="G25" i="6"/>
  <c r="E23" i="4"/>
  <c r="G41" i="4"/>
  <c r="E41" i="4"/>
  <c r="G21" i="6"/>
  <c r="G24" i="6"/>
  <c r="G26" i="6"/>
  <c r="G17" i="4"/>
  <c r="G16" i="6"/>
  <c r="G27" i="6"/>
  <c r="G23" i="6"/>
  <c r="G47" i="4"/>
  <c r="G18" i="6"/>
  <c r="G17" i="6"/>
  <c r="G38" i="4"/>
  <c r="G29" i="4"/>
  <c r="G50" i="4"/>
  <c r="G26" i="4"/>
  <c r="G20" i="4"/>
  <c r="E47" i="4"/>
  <c r="E38" i="4"/>
  <c r="E35" i="4"/>
  <c r="E20" i="4"/>
  <c r="E50" i="4"/>
  <c r="I44" i="4"/>
  <c r="E29" i="4"/>
  <c r="E44" i="4"/>
  <c r="E17" i="4"/>
  <c r="I20" i="4"/>
  <c r="I32" i="4"/>
  <c r="I17" i="4"/>
  <c r="I26" i="4"/>
  <c r="I38" i="4"/>
  <c r="I50" i="4"/>
  <c r="I23" i="4"/>
  <c r="I35" i="4"/>
  <c r="I47" i="4"/>
  <c r="I29" i="4"/>
  <c r="G14" i="4" l="1"/>
  <c r="E14" i="4"/>
</calcChain>
</file>

<file path=xl/sharedStrings.xml><?xml version="1.0" encoding="utf-8"?>
<sst xmlns="http://schemas.openxmlformats.org/spreadsheetml/2006/main" count="161" uniqueCount="112">
  <si>
    <t>Air Arrivals</t>
  </si>
  <si>
    <t>Sea (Cruise Ship) Arrivals</t>
  </si>
  <si>
    <t>Total Visitors</t>
  </si>
  <si>
    <t>Year</t>
  </si>
  <si>
    <t>Visitors            ('000)</t>
  </si>
  <si>
    <t>Percent Change</t>
  </si>
  <si>
    <t>Ship Calls</t>
  </si>
  <si>
    <t>Visitors   ('000)</t>
  </si>
  <si>
    <t xml:space="preserve"> </t>
  </si>
  <si>
    <t>Note:</t>
  </si>
  <si>
    <t>Cruise ship passengers generally come ashore for less than a day.</t>
  </si>
  <si>
    <t>New series started in 2000 - returning residents were included in air arrivals data prior to 2000.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</si>
  <si>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Department of Tourism</t>
    </r>
  </si>
  <si>
    <t>('000) and %</t>
  </si>
  <si>
    <t>Country of Origin</t>
  </si>
  <si>
    <t>#</t>
  </si>
  <si>
    <t>%</t>
  </si>
  <si>
    <t>All Countries</t>
  </si>
  <si>
    <t>U.S.A.</t>
  </si>
  <si>
    <t>Canada</t>
  </si>
  <si>
    <t>Europe</t>
  </si>
  <si>
    <t>Japan*</t>
  </si>
  <si>
    <t>Jamaica*</t>
  </si>
  <si>
    <t>Other Caribbean*</t>
  </si>
  <si>
    <t>Rest of World</t>
  </si>
  <si>
    <t>Month of Arrival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</si>
  <si>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</si>
  <si>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</si>
  <si>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</si>
  <si>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</si>
  <si>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</si>
  <si>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</si>
  <si>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</si>
  <si>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</si>
  <si>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</si>
  <si>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</si>
  <si>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</si>
  <si>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</si>
  <si>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</si>
  <si>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Percent</t>
  </si>
  <si>
    <t>Sex</t>
  </si>
  <si>
    <t xml:space="preserve">  Female</t>
  </si>
  <si>
    <t xml:space="preserve">  Male</t>
  </si>
  <si>
    <t>Age</t>
  </si>
  <si>
    <t xml:space="preserve">  0-18</t>
  </si>
  <si>
    <t xml:space="preserve">  19-35</t>
  </si>
  <si>
    <t xml:space="preserve">  36-49</t>
  </si>
  <si>
    <t xml:space="preserve">  50-60</t>
  </si>
  <si>
    <t xml:space="preserve">  60+</t>
  </si>
  <si>
    <t xml:space="preserve">  Unknown</t>
  </si>
  <si>
    <t>Occupation</t>
  </si>
  <si>
    <t xml:space="preserve">  Managerial</t>
  </si>
  <si>
    <t xml:space="preserve">  Professional</t>
  </si>
  <si>
    <t xml:space="preserve">  Student</t>
  </si>
  <si>
    <t xml:space="preserve">  Retired</t>
  </si>
  <si>
    <t xml:space="preserve">  Service/Trade</t>
  </si>
  <si>
    <t xml:space="preserve">  Other</t>
  </si>
  <si>
    <t>Purpose of visit</t>
  </si>
  <si>
    <t xml:space="preserve">  Recreation</t>
  </si>
  <si>
    <t xml:space="preserve">  Business</t>
  </si>
  <si>
    <t xml:space="preserve">  Visit Friends &amp; Family</t>
  </si>
  <si>
    <t xml:space="preserve">  Dive</t>
  </si>
  <si>
    <t>Previous visits</t>
  </si>
  <si>
    <t xml:space="preserve">  None</t>
  </si>
  <si>
    <t xml:space="preserve">  One</t>
  </si>
  <si>
    <t xml:space="preserve">  Two or more</t>
  </si>
  <si>
    <t>Accommodation</t>
  </si>
  <si>
    <t xml:space="preserve">  Hotel / Guest House</t>
  </si>
  <si>
    <t xml:space="preserve">  Apartment / Condominium</t>
  </si>
  <si>
    <t xml:space="preserve">  Private home</t>
  </si>
  <si>
    <t xml:space="preserve">  Timeshare</t>
  </si>
  <si>
    <t>Number of Rooms</t>
  </si>
  <si>
    <t>..</t>
  </si>
  <si>
    <t>2014*</t>
  </si>
  <si>
    <t>Notes:</t>
  </si>
  <si>
    <t>As of  30th September each year.</t>
  </si>
  <si>
    <t>No data available for 2004 and 2005 due to the severe fluctuations resulting from Hurricane Ivan in September 2004.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</si>
  <si>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Cayman Islands Department of Tourism</t>
    </r>
  </si>
  <si>
    <t>Stay over visitors</t>
  </si>
  <si>
    <t>Average length of stay (nights)</t>
  </si>
  <si>
    <t>Average group size</t>
  </si>
  <si>
    <t xml:space="preserve">Expenditure per person per night (CI$) </t>
  </si>
  <si>
    <t>Estimated Total Spending (CI$M)</t>
  </si>
  <si>
    <t>Daily expenditure (CI$)</t>
  </si>
  <si>
    <t>Actual Arrivals (000's)</t>
  </si>
  <si>
    <t>Estimated total spending (CI$M)</t>
  </si>
  <si>
    <t>All visitors (CI$M)</t>
  </si>
  <si>
    <r>
      <rPr>
        <b/>
        <sz val="10"/>
        <rFont val="Arial"/>
        <family val="2"/>
      </rPr>
      <t xml:space="preserve">Source: </t>
    </r>
    <r>
      <rPr>
        <sz val="10"/>
        <rFont val="Arial"/>
        <family val="2"/>
      </rPr>
      <t>Cayman Islands D</t>
    </r>
    <r>
      <rPr>
        <sz val="10"/>
        <rFont val="Arial"/>
        <family val="2"/>
      </rPr>
      <t xml:space="preserve">epartment of Tourism, Visitor Exit Survey </t>
    </r>
  </si>
  <si>
    <t>2015*</t>
  </si>
  <si>
    <t>Hotels</t>
  </si>
  <si>
    <t>Apartments &amp; Guest Houses</t>
  </si>
  <si>
    <t>2016*</t>
  </si>
  <si>
    <t>* As at December 31</t>
  </si>
  <si>
    <t>Cruise ship visitors*</t>
  </si>
  <si>
    <t>2017*</t>
  </si>
  <si>
    <t>Latin America</t>
  </si>
  <si>
    <r>
      <t xml:space="preserve">Note: </t>
    </r>
    <r>
      <rPr>
        <sz val="10"/>
        <rFont val="Arial"/>
        <family val="2"/>
      </rPr>
      <t>Latin America includes South and Central America</t>
    </r>
  </si>
  <si>
    <t>2018*</t>
  </si>
  <si>
    <t>Estimated Number of landed visitors (000's)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</si>
  <si>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Cayman Islands Customs and Border Control / Cayman Islands Department of Tourism</t>
    </r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</si>
  <si>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Cayman Islands Customs and Border Control</t>
    </r>
  </si>
  <si>
    <t>2019*</t>
  </si>
  <si>
    <t>2020*</t>
  </si>
  <si>
    <t>Visitor Air Arrivals by Country of Origin, 2014 - 2021</t>
  </si>
  <si>
    <t>Tourist Accommodation,  2000 - 2021</t>
  </si>
  <si>
    <t>Visitor Expenditure 2016-2021</t>
  </si>
  <si>
    <t>2021*</t>
  </si>
  <si>
    <t>Expenditure estimates for 2020-2021 are not yet available</t>
  </si>
  <si>
    <t>Visitor Arrivals in the Cayman Islands, 1996 - 2021</t>
  </si>
  <si>
    <t>COMPENDIUM OF STATISTICS 2021</t>
  </si>
  <si>
    <t>Visitor Air Arrivals, 2015 - 2021</t>
  </si>
  <si>
    <t>Visitor Air Arrivals by Selected Characteristics, 2010 -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</si>
</sst>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\-\ #\ \-"/>
    <numFmt numFmtId="165" formatCode="_(* #,##0.0_);_(* \(#,##0.0\);_(* &quot;-&quot;??_);_(@_)"/>
    <numFmt numFmtId="166" formatCode="0.0"/>
    <numFmt numFmtId="167" formatCode="#,##0.0_);\(#,##0.0\)"/>
    <numFmt numFmtId="168" formatCode="0.0_);\(0.0\)"/>
    <numFmt numFmtId="169" formatCode="_(* #,##0_);_(* \(#,##0\);_(* &quot;-&quot;??_);_(@_)"/>
    <numFmt numFmtId="170" formatCode="0.0%"/>
    <numFmt numFmtId="173" formatCode="#,##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Book Antiqua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sz val="10"/>
      <color theme="0" tint="-0.34998626667073579"/>
      <name val="Arial"/>
      <family val="2"/>
    </font>
    <font>
      <i/>
      <sz val="9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vertAlign val="superscript"/>
      <sz val="10"/>
      <color rgb="FFFF0000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4">
    <xf numFmtId="0" fontId="0" fillId="0" borderId="0" xfId="0"/>
    <xf numFmtId="0" fontId="0" fillId="0" borderId="0" xfId="0" applyFill="1" applyBorder="1"/>
    <xf numFmtId="0" fontId="0" fillId="0" borderId="0" xfId="0" applyFill="1"/>
    <xf numFmtId="167" fontId="0" fillId="0" borderId="0" xfId="0" applyNumberFormat="1" applyFill="1" applyBorder="1"/>
    <xf numFmtId="0" fontId="5" fillId="0" borderId="0" xfId="0" applyFont="1" applyFill="1"/>
    <xf numFmtId="0" fontId="2" fillId="0" borderId="0" xfId="0" applyFont="1" applyFill="1"/>
    <xf numFmtId="0" fontId="4" fillId="0" borderId="0" xfId="0" applyFont="1" applyFill="1"/>
    <xf numFmtId="166" fontId="0" fillId="0" borderId="0" xfId="0" applyNumberFormat="1" applyFill="1"/>
    <xf numFmtId="167" fontId="0" fillId="0" borderId="0" xfId="0" applyNumberFormat="1" applyFill="1"/>
    <xf numFmtId="0" fontId="0" fillId="0" borderId="0" xfId="0" applyFill="1" applyBorder="1" applyAlignment="1">
      <alignment horizontal="center"/>
    </xf>
    <xf numFmtId="0" fontId="10" fillId="0" borderId="0" xfId="0" applyFont="1" applyFill="1" applyAlignment="1">
      <alignment horizontal="right" vertical="center"/>
    </xf>
    <xf numFmtId="167" fontId="0" fillId="0" borderId="1" xfId="0" applyNumberFormat="1" applyFill="1" applyBorder="1"/>
    <xf numFmtId="0" fontId="2" fillId="0" borderId="0" xfId="0" applyFont="1" applyFill="1" applyAlignment="1">
      <alignment horizontal="left"/>
    </xf>
    <xf numFmtId="0" fontId="22" fillId="0" borderId="0" xfId="0" applyFont="1" applyFill="1"/>
    <xf numFmtId="0" fontId="6" fillId="0" borderId="0" xfId="0" applyFont="1" applyFill="1"/>
    <xf numFmtId="0" fontId="0" fillId="0" borderId="0" xfId="0" applyFill="1" applyAlignment="1">
      <alignment horizontal="centerContinuous"/>
    </xf>
    <xf numFmtId="164" fontId="0" fillId="0" borderId="0" xfId="0" applyNumberForma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0" fontId="13" fillId="0" borderId="0" xfId="0" applyFont="1" applyFill="1"/>
    <xf numFmtId="166" fontId="13" fillId="0" borderId="0" xfId="0" applyNumberFormat="1" applyFont="1" applyFill="1"/>
    <xf numFmtId="0" fontId="10" fillId="0" borderId="0" xfId="0" applyFont="1" applyFill="1" applyAlignment="1">
      <alignment horizontal="right"/>
    </xf>
    <xf numFmtId="0" fontId="10" fillId="0" borderId="0" xfId="0" applyFont="1" applyFill="1"/>
    <xf numFmtId="165" fontId="0" fillId="0" borderId="0" xfId="0" applyNumberFormat="1" applyFill="1"/>
    <xf numFmtId="165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Alignment="1">
      <alignment horizontal="left"/>
    </xf>
    <xf numFmtId="0" fontId="3" fillId="0" borderId="0" xfId="0" applyFont="1" applyFill="1" applyBorder="1" applyAlignment="1">
      <alignment horizontal="right"/>
    </xf>
    <xf numFmtId="0" fontId="15" fillId="0" borderId="0" xfId="0" applyFont="1" applyFill="1" applyAlignment="1">
      <alignment horizontal="left"/>
    </xf>
    <xf numFmtId="0" fontId="16" fillId="0" borderId="0" xfId="0" applyFont="1" applyFill="1"/>
    <xf numFmtId="0" fontId="16" fillId="0" borderId="0" xfId="0" applyFont="1" applyFill="1" applyAlignment="1"/>
    <xf numFmtId="0" fontId="16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0" fillId="0" borderId="0" xfId="0" applyFill="1" applyBorder="1" applyAlignment="1"/>
    <xf numFmtId="0" fontId="2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Continuous"/>
    </xf>
    <xf numFmtId="0" fontId="21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right"/>
    </xf>
    <xf numFmtId="0" fontId="6" fillId="0" borderId="2" xfId="0" applyFont="1" applyFill="1" applyBorder="1"/>
    <xf numFmtId="0" fontId="6" fillId="0" borderId="1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10" xfId="0" applyFont="1" applyFill="1" applyBorder="1"/>
    <xf numFmtId="0" fontId="0" fillId="0" borderId="10" xfId="0" applyFill="1" applyBorder="1"/>
    <xf numFmtId="173" fontId="0" fillId="0" borderId="7" xfId="0" applyNumberFormat="1" applyFill="1" applyBorder="1"/>
    <xf numFmtId="165" fontId="5" fillId="0" borderId="0" xfId="1" applyNumberFormat="1" applyFont="1" applyFill="1"/>
    <xf numFmtId="166" fontId="5" fillId="0" borderId="7" xfId="0" applyNumberFormat="1" applyFont="1" applyFill="1" applyBorder="1"/>
    <xf numFmtId="166" fontId="5" fillId="0" borderId="0" xfId="0" applyNumberFormat="1" applyFont="1" applyFill="1"/>
    <xf numFmtId="166" fontId="5" fillId="0" borderId="0" xfId="2" applyNumberFormat="1" applyFont="1" applyFill="1"/>
    <xf numFmtId="173" fontId="5" fillId="0" borderId="7" xfId="0" applyNumberFormat="1" applyFont="1" applyFill="1" applyBorder="1"/>
    <xf numFmtId="170" fontId="2" fillId="0" borderId="0" xfId="2" applyNumberFormat="1" applyFont="1" applyFill="1"/>
    <xf numFmtId="9" fontId="2" fillId="0" borderId="7" xfId="2" applyNumberFormat="1" applyFont="1" applyFill="1" applyBorder="1"/>
    <xf numFmtId="166" fontId="2" fillId="0" borderId="0" xfId="2" applyNumberFormat="1" applyFont="1" applyFill="1"/>
    <xf numFmtId="173" fontId="2" fillId="0" borderId="7" xfId="0" applyNumberFormat="1" applyFont="1" applyFill="1" applyBorder="1"/>
    <xf numFmtId="0" fontId="0" fillId="0" borderId="7" xfId="0" applyFill="1" applyBorder="1"/>
    <xf numFmtId="166" fontId="2" fillId="0" borderId="7" xfId="0" applyNumberFormat="1" applyFont="1" applyFill="1" applyBorder="1"/>
    <xf numFmtId="165" fontId="2" fillId="0" borderId="0" xfId="1" applyNumberFormat="1" applyFont="1" applyFill="1"/>
    <xf numFmtId="0" fontId="0" fillId="0" borderId="0" xfId="0" applyFill="1" applyAlignment="1">
      <alignment horizontal="right"/>
    </xf>
    <xf numFmtId="165" fontId="2" fillId="0" borderId="7" xfId="1" applyNumberFormat="1" applyFont="1" applyFill="1" applyBorder="1"/>
    <xf numFmtId="166" fontId="0" fillId="0" borderId="7" xfId="0" applyNumberFormat="1" applyFill="1" applyBorder="1"/>
    <xf numFmtId="166" fontId="2" fillId="0" borderId="0" xfId="0" applyNumberFormat="1" applyFont="1" applyFill="1"/>
    <xf numFmtId="170" fontId="2" fillId="0" borderId="7" xfId="2" applyNumberFormat="1" applyFont="1" applyFill="1" applyBorder="1"/>
    <xf numFmtId="0" fontId="2" fillId="0" borderId="7" xfId="0" applyFont="1" applyFill="1" applyBorder="1"/>
    <xf numFmtId="166" fontId="0" fillId="0" borderId="0" xfId="0" applyNumberFormat="1" applyFill="1" applyAlignment="1">
      <alignment horizontal="right"/>
    </xf>
    <xf numFmtId="0" fontId="13" fillId="0" borderId="7" xfId="0" applyFont="1" applyFill="1" applyBorder="1"/>
    <xf numFmtId="0" fontId="0" fillId="0" borderId="1" xfId="0" applyFill="1" applyBorder="1"/>
    <xf numFmtId="0" fontId="0" fillId="0" borderId="9" xfId="0" applyFill="1" applyBorder="1"/>
    <xf numFmtId="166" fontId="0" fillId="0" borderId="0" xfId="0" applyNumberFormat="1" applyFill="1" applyBorder="1"/>
    <xf numFmtId="0" fontId="23" fillId="0" borderId="0" xfId="0" applyFont="1" applyFill="1"/>
    <xf numFmtId="0" fontId="19" fillId="0" borderId="0" xfId="0" applyFont="1" applyFill="1" applyBorder="1"/>
    <xf numFmtId="0" fontId="5" fillId="0" borderId="0" xfId="0" applyFont="1" applyFill="1" applyBorder="1"/>
    <xf numFmtId="165" fontId="22" fillId="0" borderId="0" xfId="0" applyNumberFormat="1" applyFont="1" applyFill="1"/>
    <xf numFmtId="43" fontId="22" fillId="0" borderId="0" xfId="0" applyNumberFormat="1" applyFont="1" applyFill="1"/>
    <xf numFmtId="0" fontId="2" fillId="0" borderId="0" xfId="0" applyFont="1" applyFill="1" applyAlignment="1">
      <alignment horizontal="right"/>
    </xf>
    <xf numFmtId="165" fontId="13" fillId="0" borderId="0" xfId="0" applyNumberFormat="1" applyFont="1" applyFill="1"/>
    <xf numFmtId="0" fontId="6" fillId="0" borderId="1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165" fontId="5" fillId="0" borderId="7" xfId="1" quotePrefix="1" applyNumberFormat="1" applyFont="1" applyFill="1" applyBorder="1"/>
    <xf numFmtId="9" fontId="5" fillId="0" borderId="0" xfId="2" applyFont="1" applyFill="1"/>
    <xf numFmtId="170" fontId="5" fillId="0" borderId="0" xfId="2" applyNumberFormat="1" applyFont="1" applyFill="1" applyBorder="1"/>
    <xf numFmtId="9" fontId="2" fillId="0" borderId="0" xfId="2" applyNumberFormat="1" applyFont="1" applyFill="1" applyBorder="1"/>
    <xf numFmtId="170" fontId="2" fillId="0" borderId="0" xfId="2" applyNumberFormat="1" applyFont="1" applyFill="1" applyBorder="1"/>
    <xf numFmtId="0" fontId="2" fillId="0" borderId="0" xfId="0" applyFont="1" applyFill="1" applyBorder="1"/>
    <xf numFmtId="0" fontId="14" fillId="0" borderId="1" xfId="0" applyFont="1" applyFill="1" applyBorder="1" applyAlignment="1">
      <alignment horizontal="right"/>
    </xf>
    <xf numFmtId="0" fontId="0" fillId="0" borderId="2" xfId="0" applyFill="1" applyBorder="1"/>
    <xf numFmtId="0" fontId="5" fillId="0" borderId="2" xfId="0" applyFont="1" applyFill="1" applyBorder="1"/>
    <xf numFmtId="165" fontId="0" fillId="0" borderId="0" xfId="0" applyNumberFormat="1" applyFill="1" applyAlignment="1">
      <alignment horizontal="right"/>
    </xf>
    <xf numFmtId="169" fontId="5" fillId="0" borderId="0" xfId="0" applyNumberFormat="1" applyFont="1" applyFill="1"/>
    <xf numFmtId="166" fontId="10" fillId="0" borderId="0" xfId="0" applyNumberFormat="1" applyFont="1" applyFill="1" applyAlignment="1">
      <alignment horizontal="right"/>
    </xf>
    <xf numFmtId="1" fontId="0" fillId="0" borderId="1" xfId="0" applyNumberFormat="1" applyFill="1" applyBorder="1"/>
    <xf numFmtId="0" fontId="16" fillId="0" borderId="1" xfId="0" applyFont="1" applyFill="1" applyBorder="1" applyAlignment="1"/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8" xfId="0" applyFont="1" applyFill="1" applyBorder="1" applyAlignment="1">
      <alignment horizontal="center"/>
    </xf>
    <xf numFmtId="0" fontId="18" fillId="0" borderId="8" xfId="0" applyFont="1" applyFill="1" applyBorder="1"/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19" fillId="0" borderId="0" xfId="0" applyFont="1" applyFill="1" applyAlignment="1">
      <alignment horizontal="center"/>
    </xf>
    <xf numFmtId="169" fontId="19" fillId="0" borderId="0" xfId="1" applyNumberFormat="1" applyFont="1" applyFill="1" applyBorder="1"/>
    <xf numFmtId="0" fontId="19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169" fontId="16" fillId="0" borderId="0" xfId="1" applyNumberFormat="1" applyFont="1" applyFill="1" applyBorder="1" applyAlignment="1"/>
    <xf numFmtId="169" fontId="16" fillId="0" borderId="0" xfId="1" applyNumberFormat="1" applyFont="1" applyFill="1" applyBorder="1"/>
    <xf numFmtId="169" fontId="2" fillId="0" borderId="0" xfId="1" applyNumberFormat="1" applyFont="1" applyFill="1" applyBorder="1" applyAlignment="1">
      <alignment horizontal="right"/>
    </xf>
    <xf numFmtId="169" fontId="16" fillId="0" borderId="0" xfId="1" applyNumberFormat="1" applyFont="1" applyFill="1" applyBorder="1" applyAlignment="1">
      <alignment horizontal="right"/>
    </xf>
    <xf numFmtId="169" fontId="2" fillId="0" borderId="0" xfId="1" applyNumberFormat="1" applyFont="1" applyFill="1" applyBorder="1"/>
    <xf numFmtId="0" fontId="19" fillId="0" borderId="0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169" fontId="2" fillId="0" borderId="1" xfId="1" applyNumberFormat="1" applyFont="1" applyFill="1" applyBorder="1"/>
    <xf numFmtId="169" fontId="16" fillId="0" borderId="1" xfId="1" applyNumberFormat="1" applyFont="1" applyFill="1" applyBorder="1"/>
    <xf numFmtId="0" fontId="17" fillId="0" borderId="0" xfId="0" applyFont="1" applyFill="1" applyBorder="1"/>
    <xf numFmtId="0" fontId="2" fillId="0" borderId="0" xfId="0" applyFont="1" applyFill="1" applyAlignment="1"/>
    <xf numFmtId="2" fontId="0" fillId="0" borderId="0" xfId="0" applyNumberFormat="1" applyFill="1"/>
    <xf numFmtId="3" fontId="0" fillId="0" borderId="0" xfId="0" applyNumberFormat="1" applyFill="1" applyAlignment="1">
      <alignment horizontal="right"/>
    </xf>
    <xf numFmtId="169" fontId="2" fillId="0" borderId="0" xfId="1" applyNumberFormat="1" applyFont="1" applyFill="1"/>
    <xf numFmtId="169" fontId="4" fillId="0" borderId="0" xfId="1" applyNumberFormat="1" applyFont="1" applyFill="1" applyAlignment="1">
      <alignment horizontal="left"/>
    </xf>
    <xf numFmtId="0" fontId="2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6" fillId="0" borderId="2" xfId="0" applyFont="1" applyFill="1" applyBorder="1" applyAlignment="1">
      <alignment horizontal="centerContinuous"/>
    </xf>
    <xf numFmtId="0" fontId="7" fillId="0" borderId="3" xfId="0" applyFont="1" applyFill="1" applyBorder="1" applyAlignment="1">
      <alignment horizontal="centerContinuous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2" fillId="0" borderId="0" xfId="1" applyNumberFormat="1" applyFont="1" applyFill="1" applyAlignment="1">
      <alignment horizontal="right"/>
    </xf>
    <xf numFmtId="167" fontId="0" fillId="0" borderId="6" xfId="0" applyNumberFormat="1" applyFill="1" applyBorder="1"/>
    <xf numFmtId="167" fontId="0" fillId="0" borderId="7" xfId="0" applyNumberForma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1" fontId="0" fillId="0" borderId="0" xfId="0" applyNumberFormat="1" applyFill="1" applyBorder="1"/>
    <xf numFmtId="0" fontId="9" fillId="0" borderId="0" xfId="0" applyFont="1" applyFill="1" applyBorder="1" applyAlignment="1">
      <alignment horizontal="left"/>
    </xf>
    <xf numFmtId="168" fontId="0" fillId="0" borderId="0" xfId="0" applyNumberFormat="1" applyFill="1" applyBorder="1"/>
    <xf numFmtId="0" fontId="9" fillId="0" borderId="0" xfId="0" applyFont="1" applyFill="1" applyBorder="1" applyAlignment="1">
      <alignment horizontal="center"/>
    </xf>
    <xf numFmtId="167" fontId="2" fillId="0" borderId="0" xfId="1" applyNumberFormat="1" applyFont="1" applyFill="1" applyBorder="1" applyAlignment="1"/>
    <xf numFmtId="167" fontId="2" fillId="0" borderId="0" xfId="1" applyNumberFormat="1" applyFont="1" applyFill="1" applyBorder="1"/>
    <xf numFmtId="0" fontId="0" fillId="0" borderId="0" xfId="0" applyFill="1" applyBorder="1" applyAlignment="1">
      <alignment horizontal="right"/>
    </xf>
    <xf numFmtId="1" fontId="0" fillId="0" borderId="7" xfId="0" applyNumberFormat="1" applyFill="1" applyBorder="1"/>
    <xf numFmtId="167" fontId="0" fillId="0" borderId="0" xfId="0" applyNumberFormat="1" applyFill="1" applyBorder="1" applyAlignment="1">
      <alignment horizontal="right"/>
    </xf>
    <xf numFmtId="167" fontId="2" fillId="0" borderId="0" xfId="0" applyNumberFormat="1" applyFont="1" applyFill="1" applyBorder="1"/>
    <xf numFmtId="167" fontId="2" fillId="0" borderId="6" xfId="0" applyNumberFormat="1" applyFont="1" applyFill="1" applyBorder="1"/>
    <xf numFmtId="167" fontId="2" fillId="0" borderId="1" xfId="0" applyNumberFormat="1" applyFont="1" applyFill="1" applyBorder="1"/>
    <xf numFmtId="167" fontId="2" fillId="0" borderId="5" xfId="0" applyNumberFormat="1" applyFont="1" applyFill="1" applyBorder="1"/>
    <xf numFmtId="0" fontId="2" fillId="0" borderId="9" xfId="0" applyFont="1" applyFill="1" applyBorder="1"/>
    <xf numFmtId="168" fontId="0" fillId="0" borderId="1" xfId="0" applyNumberFormat="1" applyFill="1" applyBorder="1"/>
    <xf numFmtId="167" fontId="0" fillId="0" borderId="9" xfId="0" applyNumberFormat="1" applyFill="1" applyBorder="1"/>
    <xf numFmtId="0" fontId="11" fillId="0" borderId="0" xfId="0" applyFont="1" applyFill="1" applyAlignment="1">
      <alignment horizontal="right" vertical="center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center"/>
    </xf>
    <xf numFmtId="165" fontId="22" fillId="0" borderId="0" xfId="1" applyNumberFormat="1" applyFont="1" applyFill="1" applyBorder="1"/>
    <xf numFmtId="166" fontId="22" fillId="0" borderId="6" xfId="0" applyNumberFormat="1" applyFont="1" applyFill="1" applyBorder="1"/>
    <xf numFmtId="1" fontId="22" fillId="0" borderId="0" xfId="1" applyNumberFormat="1" applyFont="1" applyFill="1" applyAlignment="1">
      <alignment horizontal="right"/>
    </xf>
    <xf numFmtId="165" fontId="22" fillId="0" borderId="0" xfId="1" applyNumberFormat="1" applyFont="1" applyFill="1" applyAlignment="1">
      <alignment horizontal="right"/>
    </xf>
    <xf numFmtId="166" fontId="22" fillId="0" borderId="0" xfId="0" applyNumberFormat="1" applyFont="1" applyFill="1"/>
    <xf numFmtId="0" fontId="22" fillId="0" borderId="7" xfId="0" applyFont="1" applyFill="1" applyBorder="1"/>
    <xf numFmtId="0" fontId="22" fillId="0" borderId="0" xfId="0" applyFont="1" applyFill="1" applyBorder="1"/>
  </cellXfs>
  <cellStyles count="18">
    <cellStyle name="Comma" xfId="1" builtinId="3"/>
    <cellStyle name="Normal" xfId="0" builtinId="0"/>
    <cellStyle name="Normal 10" xfId="3"/>
    <cellStyle name="Normal 2" xfId="4"/>
    <cellStyle name="Normal 2 2" xfId="6"/>
    <cellStyle name="Normal 3" xfId="5"/>
    <cellStyle name="Normal 4" xfId="8"/>
    <cellStyle name="Normal 4 2" xfId="11"/>
    <cellStyle name="Normal 4 3" xfId="14"/>
    <cellStyle name="Normal 5" xfId="9"/>
    <cellStyle name="Normal 5 2" xfId="12"/>
    <cellStyle name="Normal 5 3" xfId="15"/>
    <cellStyle name="Normal 6" xfId="10"/>
    <cellStyle name="Normal 7" xfId="13"/>
    <cellStyle name="Normal 8" xfId="16"/>
    <cellStyle name="Normal 9" xfId="17"/>
    <cellStyle name="Percent" xfId="2" builtinId="5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Chart 15.01:  Distribution of Air Arrivals by Country of Origin, 2021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376-4C40-9C63-C598BB7C8683}"/>
              </c:ext>
            </c:extLst>
          </c:dPt>
          <c:dPt>
            <c:idx val="1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376-4C40-9C63-C598BB7C8683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376-4C40-9C63-C598BB7C8683}"/>
              </c:ext>
            </c:extLst>
          </c:dPt>
          <c:dPt>
            <c:idx val="3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376-4C40-9C63-C598BB7C8683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U.S.A., 54.9%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376-4C40-9C63-C598BB7C868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582010582010581E-2"/>
                  <c:y val="3.633060853769300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Europe,</a:t>
                    </a:r>
                    <a:r>
                      <a:rPr lang="en-US" baseline="0"/>
                      <a:t> 15.6</a:t>
                    </a:r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376-4C40-9C63-C598BB7C868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Canada,</a:t>
                    </a:r>
                    <a:r>
                      <a:rPr lang="en-US" baseline="0"/>
                      <a:t> 10.4%</a:t>
                    </a:r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376-4C40-9C63-C598BB7C868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Rest of World, 12.7%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376-4C40-9C63-C598BB7C868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multiLvlStrRef>
              <c:f>'[1].02'!$AJ$20:$AK$23</c:f>
              <c:multiLvlStrCache>
                <c:ptCount val="4"/>
                <c:lvl/>
                <c:lvl>
                  <c:pt idx="0">
                    <c:v>U.S.A.</c:v>
                  </c:pt>
                  <c:pt idx="1">
                    <c:v>Canada</c:v>
                  </c:pt>
                  <c:pt idx="2">
                    <c:v>Europe</c:v>
                  </c:pt>
                  <c:pt idx="3">
                    <c:v>Rest of World</c:v>
                  </c:pt>
                </c:lvl>
              </c:multiLvlStrCache>
            </c:multiLvlStrRef>
          </c:cat>
          <c:val>
            <c:numRef>
              <c:f>'[1].02'!$AN$40:$AN$43</c:f>
              <c:numCache>
                <c:formatCode>General</c:formatCode>
                <c:ptCount val="4"/>
                <c:pt idx="0">
                  <c:v>75.23510971786834</c:v>
                </c:pt>
                <c:pt idx="1">
                  <c:v>6.5047021943573675</c:v>
                </c:pt>
                <c:pt idx="2">
                  <c:v>9.5088819226750267</c:v>
                </c:pt>
                <c:pt idx="3">
                  <c:v>8.751306165099269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376-4C40-9C63-C598BB7C8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FFFFFF"/>
        </a:gs>
        <a:gs pos="100000">
          <a:srgbClr val="969696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9525</xdr:rowOff>
        </xdr:from>
        <xdr:to>
          <xdr:col>1</xdr:col>
          <xdr:colOff>257175</xdr:colOff>
          <xdr:row>2</xdr:row>
          <xdr:rowOff>123825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6350</xdr:rowOff>
        </xdr:from>
        <xdr:to>
          <xdr:col>1</xdr:col>
          <xdr:colOff>265642</xdr:colOff>
          <xdr:row>3</xdr:row>
          <xdr:rowOff>92075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xmlns="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161924</xdr:colOff>
      <xdr:row>45</xdr:row>
      <xdr:rowOff>114300</xdr:rowOff>
    </xdr:from>
    <xdr:to>
      <xdr:col>9</xdr:col>
      <xdr:colOff>19049</xdr:colOff>
      <xdr:row>69</xdr:row>
      <xdr:rowOff>66675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</xdr:row>
          <xdr:rowOff>104775</xdr:rowOff>
        </xdr:from>
        <xdr:to>
          <xdr:col>2</xdr:col>
          <xdr:colOff>638175</xdr:colOff>
          <xdr:row>4</xdr:row>
          <xdr:rowOff>38100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0</xdr:row>
          <xdr:rowOff>104775</xdr:rowOff>
        </xdr:from>
        <xdr:to>
          <xdr:col>2</xdr:col>
          <xdr:colOff>38100</xdr:colOff>
          <xdr:row>3</xdr:row>
          <xdr:rowOff>66675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xmlns="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20109</xdr:colOff>
          <xdr:row>0</xdr:row>
          <xdr:rowOff>62441</xdr:rowOff>
        </xdr:from>
        <xdr:to>
          <xdr:col>1</xdr:col>
          <xdr:colOff>482601</xdr:colOff>
          <xdr:row>3</xdr:row>
          <xdr:rowOff>148166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xmlns="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47625</xdr:rowOff>
        </xdr:from>
        <xdr:to>
          <xdr:col>1</xdr:col>
          <xdr:colOff>409575</xdr:colOff>
          <xdr:row>3</xdr:row>
          <xdr:rowOff>9525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xmlns="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38100</xdr:rowOff>
        </xdr:from>
        <xdr:to>
          <xdr:col>1</xdr:col>
          <xdr:colOff>342900</xdr:colOff>
          <xdr:row>3</xdr:row>
          <xdr:rowOff>57150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xmlns="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ph_eu/AppData/Local/Microsoft/Windows/Temporary%20Internet%20Files/Content.Outlook/C5EZ38W1/Copy%20of%20Compendium%20of%20Statistics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01"/>
      <sheetName val=".02"/>
      <sheetName val=".03"/>
      <sheetName val=".04new"/>
      <sheetName val=".05n"/>
      <sheetName val=".06"/>
    </sheetNames>
    <sheetDataSet>
      <sheetData sheetId="0" refreshError="1"/>
      <sheetData sheetId="1">
        <row r="20">
          <cell r="AJ20" t="str">
            <v>U.S.A.</v>
          </cell>
        </row>
        <row r="21">
          <cell r="AJ21" t="str">
            <v>Canada</v>
          </cell>
        </row>
        <row r="22">
          <cell r="AJ22" t="str">
            <v>Europe</v>
          </cell>
        </row>
        <row r="23">
          <cell r="AJ23" t="str">
            <v>Rest of World</v>
          </cell>
        </row>
        <row r="40">
          <cell r="AN40">
            <v>75.23510971786834</v>
          </cell>
        </row>
        <row r="41">
          <cell r="AN41">
            <v>6.5047021943573675</v>
          </cell>
        </row>
        <row r="42">
          <cell r="AN42">
            <v>9.5088819226750267</v>
          </cell>
        </row>
        <row r="43">
          <cell r="AN43">
            <v>8.751306165099269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3:R69"/>
  <sheetViews>
    <sheetView tabSelected="1" zoomScaleNormal="100" zoomScaleSheetLayoutView="100" workbookViewId="0">
      <selection activeCell="L2" sqref="L2"/>
    </sheetView>
  </sheetViews>
  <sheetFormatPr defaultColWidth="9.140625" defaultRowHeight="12.75" x14ac:dyDescent="0.2"/>
  <cols>
    <col min="1" max="1" width="9.140625" style="2"/>
    <col min="2" max="2" width="8.42578125" style="2" customWidth="1"/>
    <col min="3" max="3" width="6.42578125" style="2" customWidth="1"/>
    <col min="4" max="4" width="1.85546875" style="2" customWidth="1"/>
    <col min="5" max="5" width="12.5703125" style="2" customWidth="1"/>
    <col min="6" max="6" width="12" style="2" customWidth="1"/>
    <col min="7" max="7" width="12.42578125" style="2" customWidth="1"/>
    <col min="8" max="8" width="12.5703125" style="2" customWidth="1"/>
    <col min="9" max="9" width="9.5703125" style="2" customWidth="1"/>
    <col min="10" max="10" width="9" style="2" customWidth="1"/>
    <col min="11" max="16384" width="9.140625" style="2"/>
  </cols>
  <sheetData>
    <row r="3" spans="2:11" x14ac:dyDescent="0.2">
      <c r="H3" s="4" t="s">
        <v>109</v>
      </c>
    </row>
    <row r="4" spans="2:11" ht="15" x14ac:dyDescent="0.25">
      <c r="G4" s="5"/>
      <c r="H4" s="5"/>
      <c r="I4" s="5"/>
      <c r="J4" s="43"/>
    </row>
    <row r="5" spans="2:11" ht="9" customHeight="1" x14ac:dyDescent="0.2"/>
    <row r="7" spans="2:11" ht="15.75" x14ac:dyDescent="0.25">
      <c r="B7" s="6">
        <v>15.01</v>
      </c>
      <c r="C7" s="126" t="s">
        <v>108</v>
      </c>
      <c r="D7" s="126"/>
      <c r="E7" s="126"/>
      <c r="F7" s="126"/>
      <c r="G7" s="126"/>
      <c r="H7" s="126"/>
      <c r="I7" s="126"/>
      <c r="J7" s="126"/>
    </row>
    <row r="9" spans="2:11" x14ac:dyDescent="0.2">
      <c r="E9" s="74"/>
    </row>
    <row r="10" spans="2:11" x14ac:dyDescent="0.2">
      <c r="C10" s="94"/>
      <c r="D10" s="94"/>
      <c r="E10" s="135" t="s">
        <v>0</v>
      </c>
      <c r="F10" s="136"/>
      <c r="G10" s="135" t="s">
        <v>1</v>
      </c>
      <c r="H10" s="135"/>
      <c r="I10" s="135"/>
      <c r="J10" s="128" t="s">
        <v>2</v>
      </c>
      <c r="K10" s="129"/>
    </row>
    <row r="11" spans="2:11" ht="25.5" x14ac:dyDescent="0.2">
      <c r="C11" s="137" t="s">
        <v>3</v>
      </c>
      <c r="D11" s="138"/>
      <c r="E11" s="138" t="s">
        <v>4</v>
      </c>
      <c r="F11" s="139" t="s">
        <v>5</v>
      </c>
      <c r="G11" s="137" t="s">
        <v>6</v>
      </c>
      <c r="H11" s="138" t="s">
        <v>7</v>
      </c>
      <c r="I11" s="137" t="s">
        <v>5</v>
      </c>
      <c r="J11" s="140" t="s">
        <v>7</v>
      </c>
      <c r="K11" s="137" t="s">
        <v>5</v>
      </c>
    </row>
    <row r="12" spans="2:11" x14ac:dyDescent="0.2">
      <c r="C12" s="165">
        <v>1995</v>
      </c>
      <c r="D12" s="166"/>
      <c r="E12" s="167">
        <v>361.4</v>
      </c>
      <c r="F12" s="168" t="e">
        <f>(E12/#REF!-1)*100</f>
        <v>#REF!</v>
      </c>
      <c r="G12" s="169">
        <v>504</v>
      </c>
      <c r="H12" s="170">
        <v>682.8</v>
      </c>
      <c r="I12" s="171" t="e">
        <f>(H12/#REF!-1)*100</f>
        <v>#REF!</v>
      </c>
      <c r="J12" s="172"/>
      <c r="K12" s="173"/>
    </row>
    <row r="13" spans="2:11" x14ac:dyDescent="0.2">
      <c r="C13" s="66">
        <v>1996</v>
      </c>
      <c r="D13" s="42"/>
      <c r="E13" s="3">
        <v>373.2</v>
      </c>
      <c r="F13" s="142">
        <f>(E13/E12-1)*100</f>
        <v>3.2650802434975201</v>
      </c>
      <c r="G13" s="141">
        <v>528</v>
      </c>
      <c r="H13" s="8">
        <v>800.3</v>
      </c>
      <c r="I13" s="8">
        <f>(H13/H12-1)*100</f>
        <v>17.208553016988869</v>
      </c>
      <c r="J13" s="143">
        <f>SUM(E13)+H13</f>
        <v>1173.5</v>
      </c>
      <c r="K13" s="1"/>
    </row>
    <row r="14" spans="2:11" x14ac:dyDescent="0.2">
      <c r="C14" s="66">
        <v>1997</v>
      </c>
      <c r="D14" s="42"/>
      <c r="E14" s="3">
        <v>381.2</v>
      </c>
      <c r="F14" s="142">
        <f t="shared" ref="F14:F23" si="0">(E14/E13-1)*100</f>
        <v>2.1436227224008508</v>
      </c>
      <c r="G14" s="141">
        <v>572</v>
      </c>
      <c r="H14" s="8">
        <v>866.6</v>
      </c>
      <c r="I14" s="8">
        <f>(H14/H13-1)*100</f>
        <v>8.2843933524928239</v>
      </c>
      <c r="J14" s="143">
        <f t="shared" ref="J14:J33" si="1">SUM(E14)+H14</f>
        <v>1247.8</v>
      </c>
      <c r="K14" s="76">
        <f>(J14/J13-1)*100</f>
        <v>6.3314870046868199</v>
      </c>
    </row>
    <row r="15" spans="2:11" x14ac:dyDescent="0.2">
      <c r="C15" s="144">
        <v>1998</v>
      </c>
      <c r="D15" s="145"/>
      <c r="E15" s="3">
        <v>404.20499999999998</v>
      </c>
      <c r="F15" s="142">
        <f t="shared" si="0"/>
        <v>6.0348898216159519</v>
      </c>
      <c r="G15" s="146">
        <v>518</v>
      </c>
      <c r="H15" s="8">
        <v>871.4</v>
      </c>
      <c r="I15" s="8">
        <f>(H15/H14-1)*100</f>
        <v>0.55388876067388182</v>
      </c>
      <c r="J15" s="143">
        <f t="shared" si="1"/>
        <v>1275.605</v>
      </c>
      <c r="K15" s="76">
        <f>(J15/J14-1)*100</f>
        <v>2.2283218464497656</v>
      </c>
    </row>
    <row r="16" spans="2:11" x14ac:dyDescent="0.2">
      <c r="B16" s="1"/>
      <c r="C16" s="144">
        <v>1999</v>
      </c>
      <c r="D16" s="145"/>
      <c r="E16" s="3">
        <v>394.7</v>
      </c>
      <c r="F16" s="142">
        <f t="shared" si="0"/>
        <v>-2.351529545651343</v>
      </c>
      <c r="G16" s="146">
        <v>638</v>
      </c>
      <c r="H16" s="3">
        <v>1035.5</v>
      </c>
      <c r="I16" s="3">
        <f t="shared" ref="I16:I21" si="2">(H16/H15-1)*100</f>
        <v>18.831764975900846</v>
      </c>
      <c r="J16" s="143">
        <f t="shared" si="1"/>
        <v>1430.2</v>
      </c>
      <c r="K16" s="76">
        <f>(J16/J15-1)*100</f>
        <v>12.119347290109395</v>
      </c>
    </row>
    <row r="17" spans="2:11" ht="14.25" x14ac:dyDescent="0.2">
      <c r="B17" s="1"/>
      <c r="C17" s="144">
        <v>2000</v>
      </c>
      <c r="D17" s="147"/>
      <c r="E17" s="3">
        <f>354087/1000</f>
        <v>354.08699999999999</v>
      </c>
      <c r="F17" s="142">
        <f t="shared" si="0"/>
        <v>-10.289587028122627</v>
      </c>
      <c r="G17" s="146">
        <v>612</v>
      </c>
      <c r="H17" s="8">
        <f>1030857/1000</f>
        <v>1030.857</v>
      </c>
      <c r="I17" s="3">
        <f t="shared" si="2"/>
        <v>-0.44838242394978911</v>
      </c>
      <c r="J17" s="143">
        <f t="shared" si="1"/>
        <v>1384.944</v>
      </c>
      <c r="K17" s="148">
        <f>(J17/J16-1)*100</f>
        <v>-3.1643126835407709</v>
      </c>
    </row>
    <row r="18" spans="2:11" ht="14.25" x14ac:dyDescent="0.2">
      <c r="B18" s="1"/>
      <c r="C18" s="144"/>
      <c r="D18" s="149"/>
      <c r="E18" s="150"/>
      <c r="F18" s="142"/>
      <c r="G18" s="146"/>
      <c r="H18" s="151"/>
      <c r="I18" s="3"/>
      <c r="J18" s="143"/>
      <c r="K18" s="76"/>
    </row>
    <row r="19" spans="2:11" x14ac:dyDescent="0.2">
      <c r="B19" s="1"/>
      <c r="C19" s="152">
        <v>2001</v>
      </c>
      <c r="D19" s="9"/>
      <c r="E19" s="3">
        <v>334.00200000000001</v>
      </c>
      <c r="F19" s="142">
        <f>(E19/E17-1)*100</f>
        <v>-5.6723347651848162</v>
      </c>
      <c r="G19" s="146">
        <v>611</v>
      </c>
      <c r="H19" s="8">
        <f>1214757/1000</f>
        <v>1214.7570000000001</v>
      </c>
      <c r="I19" s="3">
        <f>(H19/H17-1)*100</f>
        <v>17.839525753814556</v>
      </c>
      <c r="J19" s="143">
        <f t="shared" si="1"/>
        <v>1548.759</v>
      </c>
      <c r="K19" s="76">
        <f>(J19/J17-1)*100</f>
        <v>11.828276089141522</v>
      </c>
    </row>
    <row r="20" spans="2:11" ht="14.25" x14ac:dyDescent="0.2">
      <c r="B20" s="1"/>
      <c r="C20" s="152">
        <v>2002</v>
      </c>
      <c r="D20" s="10" t="s">
        <v>8</v>
      </c>
      <c r="E20" s="3">
        <v>302.70100000000002</v>
      </c>
      <c r="F20" s="142">
        <f t="shared" si="0"/>
        <v>-9.371500769456464</v>
      </c>
      <c r="G20" s="146">
        <v>732</v>
      </c>
      <c r="H20" s="8">
        <f>1574750/1000</f>
        <v>1574.75</v>
      </c>
      <c r="I20" s="3">
        <f t="shared" si="2"/>
        <v>29.634980494041187</v>
      </c>
      <c r="J20" s="143">
        <f t="shared" si="1"/>
        <v>1877.451</v>
      </c>
      <c r="K20" s="76">
        <f t="shared" ref="K20:K35" si="3">(J20/J19-1)*100</f>
        <v>21.222927518096757</v>
      </c>
    </row>
    <row r="21" spans="2:11" x14ac:dyDescent="0.2">
      <c r="B21" s="1"/>
      <c r="C21" s="152">
        <v>2003</v>
      </c>
      <c r="D21" s="9"/>
      <c r="E21" s="3">
        <v>293.41399999999999</v>
      </c>
      <c r="F21" s="142">
        <f t="shared" si="0"/>
        <v>-3.0680440434620371</v>
      </c>
      <c r="G21" s="146">
        <v>825</v>
      </c>
      <c r="H21" s="8">
        <v>1818.979</v>
      </c>
      <c r="I21" s="3">
        <f t="shared" si="2"/>
        <v>15.509064930941419</v>
      </c>
      <c r="J21" s="143">
        <f t="shared" si="1"/>
        <v>2112.393</v>
      </c>
      <c r="K21" s="76">
        <f t="shared" si="3"/>
        <v>12.513881853640928</v>
      </c>
    </row>
    <row r="22" spans="2:11" x14ac:dyDescent="0.2">
      <c r="B22" s="1"/>
      <c r="C22" s="152">
        <v>2004</v>
      </c>
      <c r="D22" s="9"/>
      <c r="E22" s="3">
        <v>259.88499999999999</v>
      </c>
      <c r="F22" s="142">
        <f t="shared" si="0"/>
        <v>-11.42719842952279</v>
      </c>
      <c r="G22" s="146">
        <v>732</v>
      </c>
      <c r="H22" s="3">
        <v>1693.2929999999999</v>
      </c>
      <c r="I22" s="3">
        <f>(H22/H21-1)*100</f>
        <v>-6.9097004418412826</v>
      </c>
      <c r="J22" s="143">
        <f t="shared" si="1"/>
        <v>1953.1779999999999</v>
      </c>
      <c r="K22" s="148">
        <f t="shared" si="3"/>
        <v>-7.5371864989137949</v>
      </c>
    </row>
    <row r="23" spans="2:11" x14ac:dyDescent="0.2">
      <c r="B23" s="1"/>
      <c r="C23" s="152">
        <v>2005</v>
      </c>
      <c r="D23" s="9"/>
      <c r="E23" s="3">
        <v>167.76</v>
      </c>
      <c r="F23" s="142">
        <f t="shared" si="0"/>
        <v>-35.448371395040112</v>
      </c>
      <c r="G23" s="146">
        <v>784</v>
      </c>
      <c r="H23" s="8">
        <v>1799</v>
      </c>
      <c r="I23" s="3">
        <f>(H23/H22-1)*100</f>
        <v>6.2426880640267246</v>
      </c>
      <c r="J23" s="143">
        <f t="shared" si="1"/>
        <v>1966.76</v>
      </c>
      <c r="K23" s="76">
        <f t="shared" si="3"/>
        <v>0.69537953018108389</v>
      </c>
    </row>
    <row r="24" spans="2:11" x14ac:dyDescent="0.2">
      <c r="B24" s="1"/>
      <c r="C24" s="152"/>
      <c r="D24" s="9"/>
      <c r="E24" s="151"/>
      <c r="F24" s="142"/>
      <c r="G24" s="146"/>
      <c r="H24" s="151"/>
      <c r="I24" s="3"/>
      <c r="J24" s="143"/>
      <c r="K24" s="76"/>
    </row>
    <row r="25" spans="2:11" x14ac:dyDescent="0.2">
      <c r="B25" s="1"/>
      <c r="C25" s="152">
        <v>2006</v>
      </c>
      <c r="D25" s="9"/>
      <c r="E25" s="3">
        <v>267.22800000000001</v>
      </c>
      <c r="F25" s="142">
        <f>(E25/E23-1)*100</f>
        <v>59.291845493562256</v>
      </c>
      <c r="G25" s="146">
        <v>802</v>
      </c>
      <c r="H25" s="3">
        <v>1930.1</v>
      </c>
      <c r="I25" s="3">
        <f>(H25/H23-1)*100</f>
        <v>7.2873818788215639</v>
      </c>
      <c r="J25" s="143">
        <f t="shared" si="1"/>
        <v>2197.328</v>
      </c>
      <c r="K25" s="76">
        <f>(J25/J23-1)*100</f>
        <v>11.723240253004953</v>
      </c>
    </row>
    <row r="26" spans="2:11" x14ac:dyDescent="0.2">
      <c r="B26" s="1"/>
      <c r="C26" s="152">
        <v>2007</v>
      </c>
      <c r="D26" s="9"/>
      <c r="E26" s="3">
        <v>291.476</v>
      </c>
      <c r="F26" s="142">
        <f>(E26/E25-1)*100</f>
        <v>9.0738994416752696</v>
      </c>
      <c r="G26" s="146">
        <v>657</v>
      </c>
      <c r="H26" s="3">
        <v>1715.7</v>
      </c>
      <c r="I26" s="3">
        <f>(H26/H25-1)*100</f>
        <v>-11.108232734055223</v>
      </c>
      <c r="J26" s="143">
        <f t="shared" si="1"/>
        <v>2007.1759999999999</v>
      </c>
      <c r="K26" s="148">
        <f t="shared" si="3"/>
        <v>-8.6537831402503365</v>
      </c>
    </row>
    <row r="27" spans="2:11" x14ac:dyDescent="0.2">
      <c r="C27" s="1">
        <v>2008</v>
      </c>
      <c r="D27" s="1"/>
      <c r="E27" s="3">
        <v>302.87200000000001</v>
      </c>
      <c r="F27" s="142">
        <f>(E27/E26-1)*100</f>
        <v>3.9097558632614771</v>
      </c>
      <c r="G27" s="146">
        <v>570</v>
      </c>
      <c r="H27" s="3">
        <v>1553.1</v>
      </c>
      <c r="I27" s="3">
        <f>(H27/H26-1)*100</f>
        <v>-9.4771813254065478</v>
      </c>
      <c r="J27" s="143">
        <f t="shared" si="1"/>
        <v>1855.972</v>
      </c>
      <c r="K27" s="148">
        <f t="shared" si="3"/>
        <v>-7.5331709825147364</v>
      </c>
    </row>
    <row r="28" spans="2:11" x14ac:dyDescent="0.2">
      <c r="C28" s="1">
        <v>2009</v>
      </c>
      <c r="D28" s="1"/>
      <c r="E28" s="3">
        <v>271.94799999999998</v>
      </c>
      <c r="F28" s="142">
        <f>(E28/E27-1)*100</f>
        <v>-10.210253836604256</v>
      </c>
      <c r="G28" s="153">
        <v>547</v>
      </c>
      <c r="H28" s="154">
        <v>1520.4</v>
      </c>
      <c r="I28" s="3">
        <f>(H28/H27-1)*100</f>
        <v>-2.1054664863820682</v>
      </c>
      <c r="J28" s="143">
        <f t="shared" si="1"/>
        <v>1792.348</v>
      </c>
      <c r="K28" s="148">
        <f t="shared" si="3"/>
        <v>-3.4280689579368695</v>
      </c>
    </row>
    <row r="29" spans="2:11" x14ac:dyDescent="0.2">
      <c r="C29" s="1">
        <v>2010</v>
      </c>
      <c r="D29" s="1"/>
      <c r="E29" s="155">
        <v>288.25700000000001</v>
      </c>
      <c r="F29" s="3">
        <f>(E29/E28-1)*100</f>
        <v>5.9971023872210871</v>
      </c>
      <c r="G29" s="63">
        <v>570</v>
      </c>
      <c r="H29" s="3">
        <v>1597.838</v>
      </c>
      <c r="I29" s="3">
        <f>(H29/H28-1)*100</f>
        <v>5.0932649302815047</v>
      </c>
      <c r="J29" s="143">
        <f t="shared" si="1"/>
        <v>1886.095</v>
      </c>
      <c r="K29" s="76">
        <f t="shared" si="3"/>
        <v>5.2304016853869983</v>
      </c>
    </row>
    <row r="30" spans="2:11" x14ac:dyDescent="0.2">
      <c r="C30" s="1"/>
      <c r="D30" s="1"/>
      <c r="E30" s="155"/>
      <c r="F30" s="3"/>
      <c r="G30" s="63"/>
      <c r="H30" s="3"/>
      <c r="I30" s="3"/>
      <c r="J30" s="143"/>
      <c r="K30" s="76"/>
    </row>
    <row r="31" spans="2:11" x14ac:dyDescent="0.2">
      <c r="C31" s="1">
        <v>2011</v>
      </c>
      <c r="D31" s="1"/>
      <c r="E31" s="155">
        <v>309.08699999999999</v>
      </c>
      <c r="F31" s="3">
        <f>(E31/E29-1)*100</f>
        <v>7.2261905174896057</v>
      </c>
      <c r="G31" s="63">
        <v>523</v>
      </c>
      <c r="H31" s="3">
        <v>1401.5</v>
      </c>
      <c r="I31" s="3">
        <f>(H31/H29-1)*100</f>
        <v>-12.28772879353226</v>
      </c>
      <c r="J31" s="143">
        <f t="shared" si="1"/>
        <v>1710.587</v>
      </c>
      <c r="K31" s="148">
        <f>(J31/J29-1)*100</f>
        <v>-9.305363727701943</v>
      </c>
    </row>
    <row r="32" spans="2:11" x14ac:dyDescent="0.2">
      <c r="C32" s="1">
        <v>2012</v>
      </c>
      <c r="D32" s="1"/>
      <c r="E32" s="155">
        <v>321.642</v>
      </c>
      <c r="F32" s="3">
        <f t="shared" ref="F32:F38" si="4">(E32/E31-1)*100</f>
        <v>4.0619631365926168</v>
      </c>
      <c r="G32" s="63">
        <v>525</v>
      </c>
      <c r="H32" s="3">
        <v>1507.4</v>
      </c>
      <c r="I32" s="3">
        <f>(H32/H31-1)*100</f>
        <v>7.5561897966464509</v>
      </c>
      <c r="J32" s="143">
        <f t="shared" si="1"/>
        <v>1829.0420000000001</v>
      </c>
      <c r="K32" s="76">
        <f t="shared" si="3"/>
        <v>6.9248158673016924</v>
      </c>
    </row>
    <row r="33" spans="2:11" x14ac:dyDescent="0.2">
      <c r="C33" s="1">
        <v>2013</v>
      </c>
      <c r="D33" s="1"/>
      <c r="E33" s="155">
        <v>345.38</v>
      </c>
      <c r="F33" s="142">
        <f t="shared" si="4"/>
        <v>7.3802550661915989</v>
      </c>
      <c r="G33" s="63">
        <v>480</v>
      </c>
      <c r="H33" s="3">
        <v>1375.9</v>
      </c>
      <c r="I33" s="3">
        <f>(H33/H31-1)*100</f>
        <v>-1.8266143417766667</v>
      </c>
      <c r="J33" s="143">
        <f t="shared" si="1"/>
        <v>1721.2800000000002</v>
      </c>
      <c r="K33" s="148">
        <f t="shared" si="3"/>
        <v>-5.8917181781500849</v>
      </c>
    </row>
    <row r="34" spans="2:11" x14ac:dyDescent="0.2">
      <c r="C34" s="1">
        <v>2014</v>
      </c>
      <c r="D34" s="1"/>
      <c r="E34" s="155">
        <v>382.81599999999997</v>
      </c>
      <c r="F34" s="156">
        <f t="shared" si="4"/>
        <v>10.839075800567489</v>
      </c>
      <c r="G34" s="91">
        <v>562</v>
      </c>
      <c r="H34" s="3">
        <v>1609.6</v>
      </c>
      <c r="I34" s="155">
        <f t="shared" ref="I34:I38" si="5">(H34/H33-1)*100</f>
        <v>16.98524602078637</v>
      </c>
      <c r="J34" s="143">
        <f t="shared" ref="J34:J38" si="6">SUM(E34)+H34</f>
        <v>1992.4159999999999</v>
      </c>
      <c r="K34" s="76">
        <f>(J34/J33-1)*100</f>
        <v>15.7519985127347</v>
      </c>
    </row>
    <row r="35" spans="2:11" x14ac:dyDescent="0.2">
      <c r="C35" s="1">
        <v>2015</v>
      </c>
      <c r="D35" s="1"/>
      <c r="E35" s="155">
        <v>385.37799999999999</v>
      </c>
      <c r="F35" s="155">
        <f t="shared" si="4"/>
        <v>0.66925102399064684</v>
      </c>
      <c r="G35" s="71">
        <v>575</v>
      </c>
      <c r="H35" s="3">
        <v>1716.8119999999999</v>
      </c>
      <c r="I35" s="155">
        <f t="shared" si="5"/>
        <v>6.6607852882703877</v>
      </c>
      <c r="J35" s="143">
        <f t="shared" si="6"/>
        <v>2102.19</v>
      </c>
      <c r="K35" s="76">
        <f t="shared" si="3"/>
        <v>5.5095923742832786</v>
      </c>
    </row>
    <row r="36" spans="2:11" x14ac:dyDescent="0.2">
      <c r="C36" s="1">
        <v>2016</v>
      </c>
      <c r="D36" s="1"/>
      <c r="E36" s="155">
        <v>385.5</v>
      </c>
      <c r="F36" s="155">
        <f t="shared" si="4"/>
        <v>3.1657230044279672E-2</v>
      </c>
      <c r="G36" s="71">
        <v>577</v>
      </c>
      <c r="H36" s="3">
        <v>1711.8489999999999</v>
      </c>
      <c r="I36" s="155">
        <f t="shared" si="5"/>
        <v>-0.2890823223509642</v>
      </c>
      <c r="J36" s="143">
        <f t="shared" si="6"/>
        <v>2097.3490000000002</v>
      </c>
      <c r="K36" s="148">
        <f t="shared" ref="K36:K38" si="7">(J36/J35-1)*100</f>
        <v>-0.2302836565676647</v>
      </c>
    </row>
    <row r="37" spans="2:11" x14ac:dyDescent="0.2">
      <c r="C37" s="1">
        <v>2017</v>
      </c>
      <c r="D37" s="1"/>
      <c r="E37" s="155">
        <v>418.4</v>
      </c>
      <c r="F37" s="155">
        <f t="shared" si="4"/>
        <v>8.5343709468222997</v>
      </c>
      <c r="G37" s="71">
        <v>569</v>
      </c>
      <c r="H37" s="3">
        <v>1728.4</v>
      </c>
      <c r="I37" s="155">
        <f t="shared" si="5"/>
        <v>0.96684929570307609</v>
      </c>
      <c r="J37" s="143">
        <f t="shared" si="6"/>
        <v>2146.8000000000002</v>
      </c>
      <c r="K37" s="148">
        <f t="shared" si="7"/>
        <v>2.3577859478799201</v>
      </c>
    </row>
    <row r="38" spans="2:11" x14ac:dyDescent="0.2">
      <c r="C38" s="1">
        <v>2018</v>
      </c>
      <c r="D38" s="1"/>
      <c r="E38" s="155">
        <v>463</v>
      </c>
      <c r="F38" s="155">
        <f t="shared" si="4"/>
        <v>10.659655831739979</v>
      </c>
      <c r="G38" s="71">
        <v>638</v>
      </c>
      <c r="H38" s="3">
        <v>1921</v>
      </c>
      <c r="I38" s="155">
        <f t="shared" si="5"/>
        <v>11.14325387641748</v>
      </c>
      <c r="J38" s="143">
        <f t="shared" si="6"/>
        <v>2384</v>
      </c>
      <c r="K38" s="148">
        <f t="shared" si="7"/>
        <v>11.049003167505123</v>
      </c>
    </row>
    <row r="39" spans="2:11" x14ac:dyDescent="0.2">
      <c r="C39" s="1">
        <v>2019</v>
      </c>
      <c r="D39" s="1"/>
      <c r="E39" s="155">
        <v>502.7</v>
      </c>
      <c r="F39" s="155">
        <f>(E39/E38-1)*100</f>
        <v>8.5745140388768792</v>
      </c>
      <c r="G39" s="71">
        <v>601</v>
      </c>
      <c r="H39" s="3">
        <v>1831</v>
      </c>
      <c r="I39" s="155">
        <f>(H39/H38-1)*100</f>
        <v>-4.6850598646538284</v>
      </c>
      <c r="J39" s="143">
        <f>SUM(E39)+H39</f>
        <v>2333.6999999999998</v>
      </c>
      <c r="K39" s="148">
        <f>(J39/J38-1)*100</f>
        <v>-2.1098993288590662</v>
      </c>
    </row>
    <row r="40" spans="2:11" x14ac:dyDescent="0.2">
      <c r="B40" s="5"/>
      <c r="C40" s="1">
        <v>2020</v>
      </c>
      <c r="D40" s="1"/>
      <c r="E40" s="155">
        <v>121.8</v>
      </c>
      <c r="F40" s="155">
        <f>(E40/E39-1)*100</f>
        <v>-75.770837477620844</v>
      </c>
      <c r="G40" s="71">
        <v>191</v>
      </c>
      <c r="H40" s="3">
        <v>538.1</v>
      </c>
      <c r="I40" s="155">
        <f>(H40/H39-1)*100</f>
        <v>-70.611687602403066</v>
      </c>
      <c r="J40" s="143">
        <f>SUM(E40)+H40</f>
        <v>659.9</v>
      </c>
      <c r="K40" s="148">
        <f>(J40/J39-1)*100</f>
        <v>-71.723014954792816</v>
      </c>
    </row>
    <row r="41" spans="2:11" x14ac:dyDescent="0.2">
      <c r="B41" s="5"/>
      <c r="C41" s="74">
        <v>2021</v>
      </c>
      <c r="D41" s="74"/>
      <c r="E41" s="157">
        <v>17.3</v>
      </c>
      <c r="F41" s="158">
        <f>(E41/E40-1)*100</f>
        <v>-85.796387520525457</v>
      </c>
      <c r="G41" s="159">
        <v>0</v>
      </c>
      <c r="H41" s="11">
        <v>0</v>
      </c>
      <c r="I41" s="160">
        <f>(H41/H40-1)*100</f>
        <v>-100</v>
      </c>
      <c r="J41" s="161">
        <f>SUM(E41)+H41</f>
        <v>17.3</v>
      </c>
      <c r="K41" s="160">
        <f>(J41/J40-1)*100</f>
        <v>-97.378390665252311</v>
      </c>
    </row>
    <row r="42" spans="2:11" x14ac:dyDescent="0.2">
      <c r="C42" s="49" t="s">
        <v>9</v>
      </c>
      <c r="D42" s="1"/>
      <c r="E42" s="3"/>
      <c r="F42" s="3"/>
      <c r="G42" s="1"/>
      <c r="H42" s="3"/>
      <c r="I42" s="3"/>
      <c r="K42" s="8"/>
    </row>
    <row r="43" spans="2:11" x14ac:dyDescent="0.2">
      <c r="C43" s="91" t="s">
        <v>10</v>
      </c>
      <c r="D43" s="1"/>
      <c r="E43" s="1"/>
      <c r="F43" s="1"/>
      <c r="G43" s="1"/>
      <c r="H43" s="1"/>
      <c r="I43" s="1"/>
      <c r="K43" s="8"/>
    </row>
    <row r="44" spans="2:11" ht="14.25" x14ac:dyDescent="0.2">
      <c r="B44" s="162"/>
      <c r="C44" s="163" t="s">
        <v>11</v>
      </c>
      <c r="D44" s="163"/>
      <c r="E44" s="163"/>
      <c r="F44" s="163"/>
      <c r="G44" s="163"/>
      <c r="H44" s="163"/>
      <c r="I44" s="163"/>
      <c r="K44" s="8"/>
    </row>
    <row r="45" spans="2:11" ht="14.25" x14ac:dyDescent="0.2">
      <c r="B45" s="10"/>
      <c r="C45" s="163"/>
      <c r="D45" s="163"/>
      <c r="E45" s="163"/>
      <c r="F45" s="163"/>
      <c r="G45" s="163"/>
      <c r="H45" s="163"/>
      <c r="I45" s="163"/>
    </row>
    <row r="46" spans="2:11" ht="14.25" x14ac:dyDescent="0.2">
      <c r="B46" s="10"/>
      <c r="C46" s="78"/>
      <c r="D46" s="164"/>
      <c r="E46" s="164"/>
      <c r="F46" s="164"/>
      <c r="G46" s="164"/>
      <c r="H46" s="164"/>
      <c r="I46" s="164"/>
    </row>
    <row r="47" spans="2:11" x14ac:dyDescent="0.2">
      <c r="C47" s="12" t="s">
        <v>99</v>
      </c>
      <c r="D47" s="1"/>
      <c r="E47" s="1"/>
      <c r="F47" s="1"/>
      <c r="G47" s="1"/>
      <c r="H47" s="1"/>
      <c r="I47" s="1"/>
    </row>
    <row r="65" spans="2:11" x14ac:dyDescent="0.2">
      <c r="E65" s="14"/>
    </row>
    <row r="68" spans="2:11" ht="9" customHeight="1" x14ac:dyDescent="0.2">
      <c r="B68" s="15"/>
      <c r="C68" s="15"/>
      <c r="D68" s="15"/>
      <c r="E68" s="15"/>
      <c r="F68" s="15"/>
      <c r="G68" s="15"/>
      <c r="H68" s="15"/>
      <c r="I68" s="15"/>
    </row>
    <row r="69" spans="2:11" x14ac:dyDescent="0.2">
      <c r="B69" s="127">
        <v>123</v>
      </c>
      <c r="C69" s="127"/>
      <c r="D69" s="127"/>
      <c r="E69" s="127"/>
      <c r="F69" s="127"/>
      <c r="G69" s="127"/>
      <c r="H69" s="127"/>
      <c r="I69" s="127"/>
      <c r="J69" s="127"/>
      <c r="K69" s="16"/>
    </row>
  </sheetData>
  <mergeCells count="4">
    <mergeCell ref="C7:J7"/>
    <mergeCell ref="J10:K10"/>
    <mergeCell ref="C44:I45"/>
    <mergeCell ref="B69:J69"/>
  </mergeCells>
  <printOptions horizontalCentered="1"/>
  <pageMargins left="1" right="1" top="1" bottom="1" header="0.5" footer="0.24"/>
  <pageSetup scale="66" orientation="portrait" r:id="rId1"/>
  <headerFooter alignWithMargins="0"/>
  <ignoredErrors>
    <ignoredError sqref="J14:J17 I32:I33 J19:J41" formula="1"/>
    <ignoredError sqref="F12 I12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9525</xdr:rowOff>
              </from>
              <to>
                <xdr:col>1</xdr:col>
                <xdr:colOff>257175</xdr:colOff>
                <xdr:row>2</xdr:row>
                <xdr:rowOff>123825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B3:AC71"/>
  <sheetViews>
    <sheetView zoomScale="90" zoomScaleNormal="90" zoomScaleSheetLayoutView="100" workbookViewId="0">
      <selection activeCell="T3" sqref="T3"/>
    </sheetView>
  </sheetViews>
  <sheetFormatPr defaultColWidth="9.140625" defaultRowHeight="12.75" x14ac:dyDescent="0.2"/>
  <cols>
    <col min="1" max="1" width="9.140625" style="2"/>
    <col min="2" max="2" width="7.5703125" style="2" customWidth="1"/>
    <col min="3" max="3" width="16.42578125" style="2" customWidth="1"/>
    <col min="4" max="6" width="9.140625" style="2" customWidth="1"/>
    <col min="7" max="16384" width="9.140625" style="2"/>
  </cols>
  <sheetData>
    <row r="3" spans="2:29" x14ac:dyDescent="0.2">
      <c r="O3" s="4" t="s">
        <v>109</v>
      </c>
    </row>
    <row r="7" spans="2:29" ht="15.75" x14ac:dyDescent="0.25">
      <c r="B7" s="17">
        <v>15.02</v>
      </c>
      <c r="C7" s="41" t="s">
        <v>103</v>
      </c>
      <c r="D7" s="41"/>
      <c r="E7" s="41"/>
      <c r="F7" s="41"/>
      <c r="G7" s="41"/>
      <c r="H7" s="41"/>
      <c r="I7" s="41"/>
      <c r="J7" s="41"/>
      <c r="K7" s="41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9" spans="2:29" x14ac:dyDescent="0.2">
      <c r="C9" s="130" t="s">
        <v>13</v>
      </c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</row>
    <row r="10" spans="2:29" x14ac:dyDescent="0.2">
      <c r="C10" s="131" t="s">
        <v>14</v>
      </c>
      <c r="D10" s="128">
        <v>2014</v>
      </c>
      <c r="E10" s="129"/>
      <c r="F10" s="128">
        <v>2015</v>
      </c>
      <c r="G10" s="129"/>
      <c r="H10" s="128">
        <v>2016</v>
      </c>
      <c r="I10" s="129"/>
      <c r="J10" s="128">
        <v>2017</v>
      </c>
      <c r="K10" s="129"/>
      <c r="L10" s="128">
        <v>2018</v>
      </c>
      <c r="M10" s="129"/>
      <c r="N10" s="128">
        <v>2019</v>
      </c>
      <c r="O10" s="129"/>
      <c r="P10" s="128">
        <v>2020</v>
      </c>
      <c r="Q10" s="129"/>
      <c r="R10" s="128">
        <v>2021</v>
      </c>
      <c r="S10" s="129"/>
    </row>
    <row r="11" spans="2:29" x14ac:dyDescent="0.2">
      <c r="C11" s="132"/>
      <c r="D11" s="47" t="s">
        <v>15</v>
      </c>
      <c r="E11" s="45" t="s">
        <v>16</v>
      </c>
      <c r="F11" s="47" t="s">
        <v>15</v>
      </c>
      <c r="G11" s="45" t="s">
        <v>16</v>
      </c>
      <c r="H11" s="47" t="s">
        <v>15</v>
      </c>
      <c r="I11" s="45" t="s">
        <v>16</v>
      </c>
      <c r="J11" s="47" t="s">
        <v>15</v>
      </c>
      <c r="K11" s="45" t="s">
        <v>16</v>
      </c>
      <c r="L11" s="47" t="s">
        <v>15</v>
      </c>
      <c r="M11" s="45" t="s">
        <v>16</v>
      </c>
      <c r="N11" s="47" t="s">
        <v>15</v>
      </c>
      <c r="O11" s="45" t="s">
        <v>16</v>
      </c>
      <c r="P11" s="47" t="s">
        <v>15</v>
      </c>
      <c r="Q11" s="45" t="s">
        <v>16</v>
      </c>
      <c r="R11" s="47" t="s">
        <v>15</v>
      </c>
      <c r="S11" s="45" t="s">
        <v>16</v>
      </c>
    </row>
    <row r="12" spans="2:29" x14ac:dyDescent="0.2">
      <c r="C12" s="48"/>
      <c r="D12" s="51"/>
      <c r="E12" s="49"/>
      <c r="F12" s="51"/>
      <c r="G12" s="49"/>
      <c r="H12" s="51"/>
      <c r="I12" s="49"/>
      <c r="J12" s="51"/>
      <c r="K12" s="49"/>
      <c r="L12" s="51"/>
      <c r="M12" s="49"/>
      <c r="N12" s="51"/>
      <c r="O12" s="49"/>
      <c r="P12" s="52"/>
      <c r="R12" s="52"/>
    </row>
    <row r="13" spans="2:29" x14ac:dyDescent="0.2">
      <c r="C13" s="48"/>
      <c r="D13" s="50"/>
      <c r="E13" s="49"/>
      <c r="F13" s="50"/>
      <c r="G13" s="49"/>
      <c r="H13" s="50"/>
      <c r="I13" s="49"/>
      <c r="J13" s="50"/>
      <c r="K13" s="49"/>
      <c r="L13" s="50"/>
      <c r="M13" s="49"/>
      <c r="N13" s="50"/>
      <c r="O13" s="49"/>
      <c r="P13" s="53"/>
      <c r="R13" s="53"/>
    </row>
    <row r="14" spans="2:29" x14ac:dyDescent="0.2">
      <c r="C14" s="4" t="s">
        <v>17</v>
      </c>
      <c r="D14" s="55">
        <f>SUM(D16:D38)</f>
        <v>382.8</v>
      </c>
      <c r="E14" s="57">
        <f>D14/$D$14*100</f>
        <v>100</v>
      </c>
      <c r="F14" s="55">
        <f>SUM(F16:F38)</f>
        <v>385.40000000000003</v>
      </c>
      <c r="G14" s="57">
        <f>F14/$F$14*100</f>
        <v>100</v>
      </c>
      <c r="H14" s="55">
        <f>SUM(H16:H38)</f>
        <v>385.50000000000006</v>
      </c>
      <c r="I14" s="57">
        <f>H14/$H$14*100</f>
        <v>100</v>
      </c>
      <c r="J14" s="55">
        <f>SUM(J16:J38)</f>
        <v>418.4</v>
      </c>
      <c r="K14" s="57">
        <f>J14/$J$14*100</f>
        <v>100</v>
      </c>
      <c r="L14" s="55">
        <f>SUM(L16:L38)</f>
        <v>463.00000000000006</v>
      </c>
      <c r="M14" s="57">
        <f>L14/$L$14*100</f>
        <v>100</v>
      </c>
      <c r="N14" s="55">
        <f>SUM(N16:N38)</f>
        <v>502.70000000000005</v>
      </c>
      <c r="O14" s="57">
        <f>N14/$N$14*100</f>
        <v>100</v>
      </c>
      <c r="P14" s="58">
        <f>SUM(P16:P38)</f>
        <v>121.8</v>
      </c>
      <c r="Q14" s="54">
        <f>P14/$P$14*100</f>
        <v>100</v>
      </c>
      <c r="R14" s="58">
        <f>SUM(R17:R38)</f>
        <v>17.3</v>
      </c>
      <c r="S14" s="54">
        <f>R14/$R$14*100</f>
        <v>100</v>
      </c>
    </row>
    <row r="15" spans="2:29" x14ac:dyDescent="0.2">
      <c r="C15" s="4"/>
      <c r="D15" s="60"/>
      <c r="E15" s="61"/>
      <c r="F15" s="60"/>
      <c r="G15" s="61"/>
      <c r="H15" s="60"/>
      <c r="I15" s="61"/>
      <c r="J15" s="60"/>
      <c r="K15" s="61"/>
      <c r="L15" s="60"/>
      <c r="M15" s="61"/>
      <c r="N15" s="60"/>
      <c r="O15" s="61"/>
      <c r="P15" s="62"/>
      <c r="R15" s="62"/>
      <c r="S15" s="5"/>
    </row>
    <row r="16" spans="2:29" x14ac:dyDescent="0.2">
      <c r="D16" s="63"/>
      <c r="E16" s="7"/>
      <c r="F16" s="63"/>
      <c r="G16" s="7"/>
      <c r="H16" s="63"/>
      <c r="I16" s="7"/>
      <c r="J16" s="63"/>
      <c r="K16" s="7"/>
      <c r="L16" s="63"/>
      <c r="M16" s="7"/>
      <c r="N16" s="63"/>
      <c r="O16" s="7"/>
      <c r="P16" s="64"/>
      <c r="R16" s="64"/>
      <c r="S16" s="5"/>
    </row>
    <row r="17" spans="3:21" x14ac:dyDescent="0.2">
      <c r="C17" s="2" t="s">
        <v>18</v>
      </c>
      <c r="D17" s="68">
        <v>288</v>
      </c>
      <c r="E17" s="61">
        <f>D17/$D$14*100</f>
        <v>75.235109717868326</v>
      </c>
      <c r="F17" s="68">
        <v>291.8</v>
      </c>
      <c r="G17" s="61">
        <f>F17/$F$14*100</f>
        <v>75.713544369486243</v>
      </c>
      <c r="H17" s="68">
        <v>300.60000000000002</v>
      </c>
      <c r="I17" s="61">
        <f>H17/$H$14*100</f>
        <v>77.976653696498047</v>
      </c>
      <c r="J17" s="68">
        <v>341</v>
      </c>
      <c r="K17" s="61">
        <f>J17/$J$14*100</f>
        <v>81.500956022944564</v>
      </c>
      <c r="L17" s="68">
        <v>385.3</v>
      </c>
      <c r="M17" s="61">
        <f>ROUND(L17/$L$14*100,2)</f>
        <v>83.22</v>
      </c>
      <c r="N17" s="68">
        <v>418.6</v>
      </c>
      <c r="O17" s="61">
        <f>ROUND(N17/$N$14*100,2)</f>
        <v>83.27</v>
      </c>
      <c r="P17" s="64">
        <v>99.1</v>
      </c>
      <c r="Q17" s="7">
        <v>81.400000000000006</v>
      </c>
      <c r="R17" s="64">
        <v>9.5</v>
      </c>
      <c r="S17" s="69">
        <f>ROUND(R17/$R$14*100,2)</f>
        <v>54.91</v>
      </c>
    </row>
    <row r="18" spans="3:21" x14ac:dyDescent="0.2">
      <c r="D18" s="70"/>
      <c r="E18" s="61"/>
      <c r="F18" s="70"/>
      <c r="G18" s="61"/>
      <c r="H18" s="70"/>
      <c r="I18" s="61"/>
      <c r="J18" s="70"/>
      <c r="K18" s="61"/>
      <c r="L18" s="70"/>
      <c r="M18" s="61"/>
      <c r="N18" s="70"/>
      <c r="O18" s="61"/>
      <c r="P18" s="64"/>
      <c r="Q18" s="7"/>
      <c r="R18" s="64"/>
      <c r="S18" s="69"/>
    </row>
    <row r="19" spans="3:21" x14ac:dyDescent="0.2">
      <c r="D19" s="71"/>
      <c r="E19" s="61"/>
      <c r="F19" s="71"/>
      <c r="G19" s="61"/>
      <c r="H19" s="71"/>
      <c r="I19" s="61"/>
      <c r="J19" s="71"/>
      <c r="K19" s="61"/>
      <c r="L19" s="71"/>
      <c r="M19" s="61"/>
      <c r="N19" s="71"/>
      <c r="O19" s="61"/>
      <c r="P19" s="64"/>
      <c r="Q19" s="7"/>
      <c r="R19" s="64"/>
      <c r="S19" s="69"/>
    </row>
    <row r="20" spans="3:21" x14ac:dyDescent="0.2">
      <c r="C20" s="2" t="s">
        <v>19</v>
      </c>
      <c r="D20" s="64">
        <v>24.9</v>
      </c>
      <c r="E20" s="61">
        <f>D20/$D$14*100</f>
        <v>6.5047021943573657</v>
      </c>
      <c r="F20" s="64">
        <v>24.3</v>
      </c>
      <c r="G20" s="61">
        <f>F20/$F$14*100</f>
        <v>6.3051375194603008</v>
      </c>
      <c r="H20" s="64">
        <v>23.3</v>
      </c>
      <c r="I20" s="61">
        <f>H20/$H$14*100</f>
        <v>6.0440985732814516</v>
      </c>
      <c r="J20" s="64">
        <v>24.8</v>
      </c>
      <c r="K20" s="61">
        <f>J20/$J$14*100</f>
        <v>5.9273422562141498</v>
      </c>
      <c r="L20" s="64">
        <v>26.6</v>
      </c>
      <c r="M20" s="61">
        <v>5.8</v>
      </c>
      <c r="N20" s="64">
        <v>30.1</v>
      </c>
      <c r="O20" s="61">
        <f>ROUND(N20/$N$14*100,2)</f>
        <v>5.99</v>
      </c>
      <c r="P20" s="71">
        <v>11.4</v>
      </c>
      <c r="Q20" s="7">
        <v>9.3000000000000007</v>
      </c>
      <c r="R20" s="71">
        <v>1.8</v>
      </c>
      <c r="S20" s="69">
        <f>ROUND(R20/$R$14*100,2)</f>
        <v>10.4</v>
      </c>
    </row>
    <row r="21" spans="3:21" x14ac:dyDescent="0.2">
      <c r="D21" s="64"/>
      <c r="E21" s="61"/>
      <c r="F21" s="64"/>
      <c r="G21" s="61"/>
      <c r="H21" s="64"/>
      <c r="I21" s="61"/>
      <c r="J21" s="64"/>
      <c r="K21" s="61"/>
      <c r="L21" s="64"/>
      <c r="M21" s="61"/>
      <c r="N21" s="64"/>
      <c r="O21" s="61"/>
      <c r="P21" s="71"/>
      <c r="Q21" s="20"/>
      <c r="R21" s="71"/>
      <c r="S21" s="69"/>
      <c r="T21" s="19"/>
      <c r="U21" s="19"/>
    </row>
    <row r="22" spans="3:21" x14ac:dyDescent="0.2">
      <c r="D22" s="71"/>
      <c r="E22" s="61"/>
      <c r="F22" s="71"/>
      <c r="G22" s="61"/>
      <c r="H22" s="71"/>
      <c r="I22" s="61"/>
      <c r="J22" s="71"/>
      <c r="K22" s="61"/>
      <c r="L22" s="71"/>
      <c r="M22" s="61"/>
      <c r="N22" s="71"/>
      <c r="O22" s="61"/>
      <c r="P22" s="71"/>
      <c r="Q22" s="20"/>
      <c r="R22" s="71"/>
      <c r="S22" s="69"/>
      <c r="T22" s="19"/>
      <c r="U22" s="19"/>
    </row>
    <row r="23" spans="3:21" x14ac:dyDescent="0.2">
      <c r="C23" s="2" t="s">
        <v>20</v>
      </c>
      <c r="D23" s="68">
        <v>36.5</v>
      </c>
      <c r="E23" s="61">
        <f>D23/$D$14*100</f>
        <v>9.5350052246603969</v>
      </c>
      <c r="F23" s="68">
        <v>34.299999999999997</v>
      </c>
      <c r="G23" s="61">
        <f>F23/$F$14*100</f>
        <v>8.8998443175921107</v>
      </c>
      <c r="H23" s="68">
        <v>29.2</v>
      </c>
      <c r="I23" s="61">
        <f>H23/$H$14*100</f>
        <v>7.5745784695201017</v>
      </c>
      <c r="J23" s="68">
        <v>24.2</v>
      </c>
      <c r="K23" s="61">
        <f>J23/$J$14*100</f>
        <v>5.7839388145315489</v>
      </c>
      <c r="L23" s="68">
        <v>22.8</v>
      </c>
      <c r="M23" s="61">
        <f>ROUND(L23/$L$14*100,1)</f>
        <v>4.9000000000000004</v>
      </c>
      <c r="N23" s="68">
        <v>24.1</v>
      </c>
      <c r="O23" s="61">
        <f>ROUND(N23/$N$14*100,2)</f>
        <v>4.79</v>
      </c>
      <c r="P23" s="71">
        <v>6.3</v>
      </c>
      <c r="Q23" s="7">
        <v>5.2</v>
      </c>
      <c r="R23" s="71">
        <v>2.7</v>
      </c>
      <c r="S23" s="69">
        <f>ROUND(R23/$R$14*100,2)</f>
        <v>15.61</v>
      </c>
      <c r="T23" s="19"/>
      <c r="U23" s="19"/>
    </row>
    <row r="24" spans="3:21" x14ac:dyDescent="0.2">
      <c r="D24" s="68"/>
      <c r="E24" s="61"/>
      <c r="F24" s="68"/>
      <c r="G24" s="61"/>
      <c r="H24" s="68"/>
      <c r="I24" s="61"/>
      <c r="J24" s="68"/>
      <c r="K24" s="61"/>
      <c r="L24" s="68"/>
      <c r="M24" s="61"/>
      <c r="N24" s="68"/>
      <c r="O24" s="61"/>
      <c r="P24" s="71"/>
      <c r="Q24" s="69"/>
      <c r="R24" s="71"/>
      <c r="S24" s="69"/>
      <c r="T24" s="19"/>
      <c r="U24" s="19"/>
    </row>
    <row r="25" spans="3:21" x14ac:dyDescent="0.2">
      <c r="D25" s="70"/>
      <c r="E25" s="61"/>
      <c r="F25" s="70"/>
      <c r="G25" s="61"/>
      <c r="H25" s="70"/>
      <c r="I25" s="61"/>
      <c r="J25" s="70"/>
      <c r="K25" s="61"/>
      <c r="L25" s="70"/>
      <c r="M25" s="61"/>
      <c r="N25" s="70"/>
      <c r="O25" s="61"/>
      <c r="P25" s="71"/>
      <c r="Q25" s="69"/>
      <c r="R25" s="71"/>
      <c r="S25" s="69"/>
      <c r="T25" s="19"/>
      <c r="U25" s="19"/>
    </row>
    <row r="26" spans="3:21" x14ac:dyDescent="0.2">
      <c r="C26" s="5" t="s">
        <v>95</v>
      </c>
      <c r="D26" s="63">
        <v>5.3</v>
      </c>
      <c r="E26" s="61">
        <f>D26/$D$14*100</f>
        <v>1.3845350052246603</v>
      </c>
      <c r="F26" s="63">
        <v>5.0999999999999996</v>
      </c>
      <c r="G26" s="61">
        <f>F26/$F$14*100</f>
        <v>1.3233004670472235</v>
      </c>
      <c r="H26" s="63">
        <v>6.1</v>
      </c>
      <c r="I26" s="61">
        <f>H26/$H$14*100</f>
        <v>1.5823605706874184</v>
      </c>
      <c r="J26" s="63">
        <v>7.4</v>
      </c>
      <c r="K26" s="61">
        <f>J26/$J$14*100</f>
        <v>1.7686424474187383</v>
      </c>
      <c r="L26" s="63">
        <v>7.8</v>
      </c>
      <c r="M26" s="61">
        <f>ROUND(L26/$L$14*100,1)</f>
        <v>1.7</v>
      </c>
      <c r="N26" s="63">
        <v>7.2</v>
      </c>
      <c r="O26" s="61">
        <f>ROUND(N26/$N$14*100,2)</f>
        <v>1.43</v>
      </c>
      <c r="P26" s="71">
        <v>1.7</v>
      </c>
      <c r="Q26" s="7">
        <v>1.4</v>
      </c>
      <c r="R26" s="71">
        <v>1.1000000000000001</v>
      </c>
      <c r="S26" s="69">
        <f>ROUND(R26/$R$14*100,2)</f>
        <v>6.36</v>
      </c>
      <c r="T26" s="19"/>
      <c r="U26" s="19"/>
    </row>
    <row r="27" spans="3:21" ht="12.75" hidden="1" customHeight="1" x14ac:dyDescent="0.2">
      <c r="C27" s="2" t="s">
        <v>21</v>
      </c>
      <c r="D27" s="63"/>
      <c r="E27" s="61">
        <f>D27/D23</f>
        <v>0</v>
      </c>
      <c r="F27" s="63"/>
      <c r="G27" s="61">
        <f>F27/F23</f>
        <v>0</v>
      </c>
      <c r="H27" s="63"/>
      <c r="I27" s="61">
        <f>H27/H23</f>
        <v>0</v>
      </c>
      <c r="J27" s="63"/>
      <c r="K27" s="61">
        <f>J27/J23</f>
        <v>0</v>
      </c>
      <c r="L27" s="63"/>
      <c r="M27" s="61">
        <f>L27/L23</f>
        <v>0</v>
      </c>
      <c r="N27" s="63"/>
      <c r="O27" s="61">
        <f>N27/N23</f>
        <v>0</v>
      </c>
      <c r="P27" s="71"/>
      <c r="Q27" s="69">
        <f>P27/P23</f>
        <v>0</v>
      </c>
      <c r="R27" s="71"/>
      <c r="S27" s="69">
        <f>R27/R23</f>
        <v>0</v>
      </c>
      <c r="T27" s="19"/>
      <c r="U27" s="19"/>
    </row>
    <row r="28" spans="3:21" ht="12.75" hidden="1" customHeight="1" x14ac:dyDescent="0.2">
      <c r="D28" s="63"/>
      <c r="E28" s="61" t="e">
        <f t="shared" ref="E28:E35" si="0">D28/D25</f>
        <v>#DIV/0!</v>
      </c>
      <c r="F28" s="63"/>
      <c r="G28" s="61" t="e">
        <f t="shared" ref="G28:G35" si="1">F28/F25</f>
        <v>#DIV/0!</v>
      </c>
      <c r="H28" s="63"/>
      <c r="I28" s="61" t="e">
        <f t="shared" ref="I28:K35" si="2">H28/H25</f>
        <v>#DIV/0!</v>
      </c>
      <c r="J28" s="63"/>
      <c r="K28" s="61" t="e">
        <f t="shared" si="2"/>
        <v>#DIV/0!</v>
      </c>
      <c r="L28" s="63"/>
      <c r="M28" s="61" t="e">
        <f t="shared" ref="M28:S35" si="3">L28/L25</f>
        <v>#DIV/0!</v>
      </c>
      <c r="N28" s="63"/>
      <c r="O28" s="61" t="e">
        <f t="shared" si="3"/>
        <v>#DIV/0!</v>
      </c>
      <c r="P28" s="71"/>
      <c r="Q28" s="69" t="e">
        <f t="shared" si="3"/>
        <v>#DIV/0!</v>
      </c>
      <c r="R28" s="71"/>
      <c r="S28" s="69" t="e">
        <f t="shared" si="3"/>
        <v>#DIV/0!</v>
      </c>
      <c r="T28" s="19"/>
      <c r="U28" s="19"/>
    </row>
    <row r="29" spans="3:21" ht="12.75" hidden="1" customHeight="1" x14ac:dyDescent="0.2">
      <c r="D29" s="63"/>
      <c r="E29" s="61">
        <f t="shared" si="0"/>
        <v>0</v>
      </c>
      <c r="F29" s="63"/>
      <c r="G29" s="61">
        <f t="shared" si="1"/>
        <v>0</v>
      </c>
      <c r="H29" s="63"/>
      <c r="I29" s="61">
        <f t="shared" si="2"/>
        <v>0</v>
      </c>
      <c r="J29" s="63"/>
      <c r="K29" s="61">
        <f t="shared" si="2"/>
        <v>0</v>
      </c>
      <c r="L29" s="63"/>
      <c r="M29" s="61">
        <f t="shared" si="3"/>
        <v>0</v>
      </c>
      <c r="N29" s="63"/>
      <c r="O29" s="61">
        <f t="shared" si="3"/>
        <v>0</v>
      </c>
      <c r="P29" s="71"/>
      <c r="Q29" s="69">
        <f t="shared" si="3"/>
        <v>0</v>
      </c>
      <c r="R29" s="71"/>
      <c r="S29" s="69">
        <f t="shared" si="3"/>
        <v>0</v>
      </c>
      <c r="T29" s="19"/>
      <c r="U29" s="19"/>
    </row>
    <row r="30" spans="3:21" ht="12.75" hidden="1" customHeight="1" x14ac:dyDescent="0.2">
      <c r="C30" s="2" t="s">
        <v>22</v>
      </c>
      <c r="D30" s="63"/>
      <c r="E30" s="61" t="e">
        <f t="shared" si="0"/>
        <v>#DIV/0!</v>
      </c>
      <c r="F30" s="63"/>
      <c r="G30" s="61" t="e">
        <f t="shared" si="1"/>
        <v>#DIV/0!</v>
      </c>
      <c r="H30" s="63"/>
      <c r="I30" s="61" t="e">
        <f t="shared" si="2"/>
        <v>#DIV/0!</v>
      </c>
      <c r="J30" s="63"/>
      <c r="K30" s="61" t="e">
        <f t="shared" si="2"/>
        <v>#DIV/0!</v>
      </c>
      <c r="L30" s="63"/>
      <c r="M30" s="61" t="e">
        <f t="shared" si="3"/>
        <v>#DIV/0!</v>
      </c>
      <c r="N30" s="63"/>
      <c r="O30" s="61" t="e">
        <f t="shared" si="3"/>
        <v>#DIV/0!</v>
      </c>
      <c r="P30" s="71"/>
      <c r="Q30" s="69" t="e">
        <f t="shared" si="3"/>
        <v>#DIV/0!</v>
      </c>
      <c r="R30" s="71"/>
      <c r="S30" s="69" t="e">
        <f t="shared" si="3"/>
        <v>#DIV/0!</v>
      </c>
      <c r="T30" s="19"/>
      <c r="U30" s="19"/>
    </row>
    <row r="31" spans="3:21" ht="12.75" hidden="1" customHeight="1" x14ac:dyDescent="0.2">
      <c r="D31" s="63"/>
      <c r="E31" s="61" t="e">
        <f t="shared" si="0"/>
        <v>#DIV/0!</v>
      </c>
      <c r="F31" s="63"/>
      <c r="G31" s="61" t="e">
        <f t="shared" si="1"/>
        <v>#DIV/0!</v>
      </c>
      <c r="H31" s="63"/>
      <c r="I31" s="61" t="e">
        <f t="shared" si="2"/>
        <v>#DIV/0!</v>
      </c>
      <c r="J31" s="63"/>
      <c r="K31" s="61" t="e">
        <f t="shared" si="2"/>
        <v>#DIV/0!</v>
      </c>
      <c r="L31" s="63"/>
      <c r="M31" s="61" t="e">
        <f t="shared" si="3"/>
        <v>#DIV/0!</v>
      </c>
      <c r="N31" s="63"/>
      <c r="O31" s="61" t="e">
        <f t="shared" si="3"/>
        <v>#DIV/0!</v>
      </c>
      <c r="P31" s="71"/>
      <c r="Q31" s="69" t="e">
        <f t="shared" si="3"/>
        <v>#DIV/0!</v>
      </c>
      <c r="R31" s="71"/>
      <c r="S31" s="69" t="e">
        <f t="shared" si="3"/>
        <v>#DIV/0!</v>
      </c>
      <c r="T31" s="19"/>
      <c r="U31" s="19"/>
    </row>
    <row r="32" spans="3:21" ht="12.75" hidden="1" customHeight="1" x14ac:dyDescent="0.2">
      <c r="D32" s="63"/>
      <c r="E32" s="61" t="e">
        <f t="shared" si="0"/>
        <v>#DIV/0!</v>
      </c>
      <c r="F32" s="63"/>
      <c r="G32" s="61" t="e">
        <f t="shared" si="1"/>
        <v>#DIV/0!</v>
      </c>
      <c r="H32" s="63"/>
      <c r="I32" s="61" t="e">
        <f t="shared" si="2"/>
        <v>#DIV/0!</v>
      </c>
      <c r="J32" s="63"/>
      <c r="K32" s="61" t="e">
        <f t="shared" si="2"/>
        <v>#DIV/0!</v>
      </c>
      <c r="L32" s="63"/>
      <c r="M32" s="61" t="e">
        <f t="shared" si="3"/>
        <v>#DIV/0!</v>
      </c>
      <c r="N32" s="63"/>
      <c r="O32" s="61" t="e">
        <f t="shared" si="3"/>
        <v>#DIV/0!</v>
      </c>
      <c r="P32" s="71"/>
      <c r="Q32" s="69" t="e">
        <f t="shared" si="3"/>
        <v>#DIV/0!</v>
      </c>
      <c r="R32" s="71"/>
      <c r="S32" s="69" t="e">
        <f t="shared" si="3"/>
        <v>#DIV/0!</v>
      </c>
      <c r="T32" s="19"/>
      <c r="U32" s="19"/>
    </row>
    <row r="33" spans="2:21" ht="12.75" hidden="1" customHeight="1" x14ac:dyDescent="0.2">
      <c r="C33" s="2" t="s">
        <v>23</v>
      </c>
      <c r="D33" s="63"/>
      <c r="E33" s="61" t="e">
        <f t="shared" si="0"/>
        <v>#DIV/0!</v>
      </c>
      <c r="F33" s="63"/>
      <c r="G33" s="61" t="e">
        <f t="shared" si="1"/>
        <v>#DIV/0!</v>
      </c>
      <c r="H33" s="63"/>
      <c r="I33" s="61" t="e">
        <f t="shared" si="2"/>
        <v>#DIV/0!</v>
      </c>
      <c r="J33" s="63"/>
      <c r="K33" s="61" t="e">
        <f t="shared" si="2"/>
        <v>#DIV/0!</v>
      </c>
      <c r="L33" s="63"/>
      <c r="M33" s="61" t="e">
        <f t="shared" si="3"/>
        <v>#DIV/0!</v>
      </c>
      <c r="N33" s="63"/>
      <c r="O33" s="61" t="e">
        <f t="shared" si="3"/>
        <v>#DIV/0!</v>
      </c>
      <c r="P33" s="71"/>
      <c r="Q33" s="69" t="e">
        <f t="shared" si="3"/>
        <v>#DIV/0!</v>
      </c>
      <c r="R33" s="71"/>
      <c r="S33" s="69" t="e">
        <f t="shared" si="3"/>
        <v>#DIV/0!</v>
      </c>
      <c r="T33" s="19"/>
      <c r="U33" s="19"/>
    </row>
    <row r="34" spans="2:21" ht="12.75" hidden="1" customHeight="1" x14ac:dyDescent="0.2">
      <c r="D34" s="63"/>
      <c r="E34" s="61" t="e">
        <f t="shared" si="0"/>
        <v>#DIV/0!</v>
      </c>
      <c r="F34" s="63"/>
      <c r="G34" s="61" t="e">
        <f t="shared" si="1"/>
        <v>#DIV/0!</v>
      </c>
      <c r="H34" s="63"/>
      <c r="I34" s="61" t="e">
        <f t="shared" si="2"/>
        <v>#DIV/0!</v>
      </c>
      <c r="J34" s="63"/>
      <c r="K34" s="61" t="e">
        <f t="shared" si="2"/>
        <v>#DIV/0!</v>
      </c>
      <c r="L34" s="63"/>
      <c r="M34" s="61" t="e">
        <f t="shared" si="3"/>
        <v>#DIV/0!</v>
      </c>
      <c r="N34" s="63"/>
      <c r="O34" s="61" t="e">
        <f t="shared" si="3"/>
        <v>#DIV/0!</v>
      </c>
      <c r="P34" s="71"/>
      <c r="Q34" s="69" t="e">
        <f t="shared" si="3"/>
        <v>#DIV/0!</v>
      </c>
      <c r="R34" s="71"/>
      <c r="S34" s="69" t="e">
        <f t="shared" si="3"/>
        <v>#DIV/0!</v>
      </c>
      <c r="T34" s="19"/>
      <c r="U34" s="19"/>
    </row>
    <row r="35" spans="2:21" ht="12.75" hidden="1" customHeight="1" x14ac:dyDescent="0.2">
      <c r="D35" s="63"/>
      <c r="E35" s="61" t="e">
        <f t="shared" si="0"/>
        <v>#DIV/0!</v>
      </c>
      <c r="F35" s="63"/>
      <c r="G35" s="61" t="e">
        <f t="shared" si="1"/>
        <v>#DIV/0!</v>
      </c>
      <c r="H35" s="63"/>
      <c r="I35" s="61" t="e">
        <f t="shared" si="2"/>
        <v>#DIV/0!</v>
      </c>
      <c r="J35" s="63"/>
      <c r="K35" s="61" t="e">
        <f t="shared" si="2"/>
        <v>#DIV/0!</v>
      </c>
      <c r="L35" s="63"/>
      <c r="M35" s="61" t="e">
        <f t="shared" si="3"/>
        <v>#DIV/0!</v>
      </c>
      <c r="N35" s="63"/>
      <c r="O35" s="61" t="e">
        <f t="shared" si="3"/>
        <v>#DIV/0!</v>
      </c>
      <c r="P35" s="71"/>
      <c r="Q35" s="69" t="e">
        <f t="shared" si="3"/>
        <v>#DIV/0!</v>
      </c>
      <c r="R35" s="71"/>
      <c r="S35" s="69" t="e">
        <f t="shared" si="3"/>
        <v>#DIV/0!</v>
      </c>
      <c r="T35" s="19"/>
      <c r="U35" s="19"/>
    </row>
    <row r="36" spans="2:21" ht="12.75" customHeight="1" x14ac:dyDescent="0.2">
      <c r="D36" s="63"/>
      <c r="E36" s="61"/>
      <c r="F36" s="63"/>
      <c r="G36" s="61"/>
      <c r="H36" s="63"/>
      <c r="I36" s="61"/>
      <c r="J36" s="63"/>
      <c r="K36" s="61"/>
      <c r="L36" s="63"/>
      <c r="M36" s="61"/>
      <c r="N36" s="63"/>
      <c r="O36" s="61"/>
      <c r="P36" s="71"/>
      <c r="Q36" s="69"/>
      <c r="R36" s="71"/>
      <c r="S36" s="69"/>
      <c r="T36" s="19"/>
      <c r="U36" s="19"/>
    </row>
    <row r="37" spans="2:21" ht="12.75" customHeight="1" x14ac:dyDescent="0.2">
      <c r="D37" s="63"/>
      <c r="E37" s="61"/>
      <c r="F37" s="63"/>
      <c r="G37" s="61"/>
      <c r="H37" s="63"/>
      <c r="I37" s="61"/>
      <c r="J37" s="63"/>
      <c r="K37" s="61"/>
      <c r="L37" s="63"/>
      <c r="M37" s="61"/>
      <c r="N37" s="63"/>
      <c r="O37" s="61"/>
      <c r="P37" s="71"/>
      <c r="Q37" s="69"/>
      <c r="R37" s="71"/>
      <c r="S37" s="69"/>
      <c r="T37" s="19"/>
      <c r="U37" s="19"/>
    </row>
    <row r="38" spans="2:21" x14ac:dyDescent="0.2">
      <c r="C38" s="2" t="s">
        <v>24</v>
      </c>
      <c r="D38" s="68">
        <v>28.1</v>
      </c>
      <c r="E38" s="61">
        <f>D38/$D$14*100</f>
        <v>7.3406478578892376</v>
      </c>
      <c r="F38" s="68">
        <v>29.9</v>
      </c>
      <c r="G38" s="61">
        <f>F38/$F$14*100</f>
        <v>7.7581733264141137</v>
      </c>
      <c r="H38" s="68">
        <v>26.3</v>
      </c>
      <c r="I38" s="61">
        <f>H38/$H$14*100</f>
        <v>6.8223086900129699</v>
      </c>
      <c r="J38" s="68">
        <v>21</v>
      </c>
      <c r="K38" s="61">
        <f>J38/$J$14*100</f>
        <v>5.0191204588910141</v>
      </c>
      <c r="L38" s="68">
        <v>20.5</v>
      </c>
      <c r="M38" s="61">
        <f>ROUND(L38/$L$14*100,1)</f>
        <v>4.4000000000000004</v>
      </c>
      <c r="N38" s="68">
        <v>22.7</v>
      </c>
      <c r="O38" s="61">
        <f>ROUND(N38/$N$14*100,2)</f>
        <v>4.5199999999999996</v>
      </c>
      <c r="P38" s="71">
        <v>3.3</v>
      </c>
      <c r="Q38" s="7">
        <v>2.7</v>
      </c>
      <c r="R38" s="71">
        <v>2.2000000000000002</v>
      </c>
      <c r="S38" s="69">
        <f>ROUND(R38/$R$14*100,2)</f>
        <v>12.72</v>
      </c>
      <c r="T38" s="19"/>
      <c r="U38" s="19"/>
    </row>
    <row r="39" spans="2:21" x14ac:dyDescent="0.2">
      <c r="D39" s="70"/>
      <c r="E39" s="59"/>
      <c r="F39" s="70"/>
      <c r="G39" s="59"/>
      <c r="H39" s="70"/>
      <c r="I39" s="59"/>
      <c r="J39" s="70"/>
      <c r="K39" s="59"/>
      <c r="L39" s="70"/>
      <c r="M39" s="59"/>
      <c r="N39" s="70"/>
      <c r="O39" s="59"/>
      <c r="P39" s="73"/>
      <c r="Q39" s="20"/>
      <c r="R39" s="73"/>
      <c r="S39" s="20"/>
      <c r="T39" s="19"/>
      <c r="U39" s="19"/>
    </row>
    <row r="40" spans="2:21" x14ac:dyDescent="0.2">
      <c r="B40" s="1"/>
      <c r="C40" s="74"/>
      <c r="D40" s="75"/>
      <c r="E40" s="74"/>
      <c r="F40" s="75"/>
      <c r="G40" s="74"/>
      <c r="H40" s="75"/>
      <c r="I40" s="74"/>
      <c r="J40" s="75"/>
      <c r="K40" s="74"/>
      <c r="L40" s="75"/>
      <c r="M40" s="74"/>
      <c r="N40" s="75"/>
      <c r="O40" s="74"/>
      <c r="P40" s="75"/>
      <c r="Q40" s="74"/>
      <c r="R40" s="75"/>
      <c r="S40" s="74"/>
      <c r="T40" s="19"/>
      <c r="U40" s="19"/>
    </row>
    <row r="41" spans="2:21" x14ac:dyDescent="0.2">
      <c r="B41" s="1"/>
      <c r="C41" s="1"/>
      <c r="N41" s="77"/>
      <c r="O41" s="13"/>
      <c r="P41" s="19"/>
      <c r="Q41" s="19"/>
      <c r="R41" s="19"/>
      <c r="S41" s="19"/>
      <c r="T41" s="19"/>
      <c r="U41" s="19"/>
    </row>
    <row r="42" spans="2:21" x14ac:dyDescent="0.2">
      <c r="B42" s="1"/>
      <c r="C42" s="78"/>
      <c r="N42" s="77"/>
      <c r="O42" s="13"/>
      <c r="P42" s="19"/>
      <c r="Q42" s="19"/>
      <c r="R42" s="19"/>
      <c r="S42" s="19"/>
      <c r="T42" s="19"/>
      <c r="U42" s="19"/>
    </row>
    <row r="43" spans="2:21" x14ac:dyDescent="0.2">
      <c r="C43" s="79" t="s">
        <v>96</v>
      </c>
      <c r="N43" s="80"/>
      <c r="O43" s="81"/>
      <c r="P43" s="20"/>
      <c r="Q43" s="20"/>
      <c r="R43" s="20"/>
      <c r="S43" s="20"/>
      <c r="T43" s="19"/>
      <c r="U43" s="19"/>
    </row>
    <row r="44" spans="2:21" ht="14.25" x14ac:dyDescent="0.2">
      <c r="B44" s="21"/>
      <c r="C44" s="12" t="s">
        <v>99</v>
      </c>
      <c r="N44" s="80"/>
      <c r="O44" s="81"/>
      <c r="P44" s="20"/>
      <c r="Q44" s="20"/>
      <c r="R44" s="20"/>
      <c r="S44" s="20"/>
      <c r="T44" s="19"/>
      <c r="U44" s="19"/>
    </row>
    <row r="45" spans="2:21" x14ac:dyDescent="0.2">
      <c r="N45" s="80"/>
      <c r="O45" s="81"/>
      <c r="P45" s="20"/>
      <c r="Q45" s="20"/>
      <c r="R45" s="20"/>
      <c r="S45" s="20"/>
      <c r="T45" s="20"/>
      <c r="U45" s="19"/>
    </row>
    <row r="46" spans="2:21" x14ac:dyDescent="0.2">
      <c r="B46" s="82"/>
      <c r="N46" s="80"/>
      <c r="O46" s="81"/>
      <c r="P46" s="20"/>
      <c r="Q46" s="20"/>
      <c r="R46" s="20"/>
      <c r="S46" s="20"/>
      <c r="T46" s="19"/>
      <c r="U46" s="19"/>
    </row>
    <row r="47" spans="2:21" x14ac:dyDescent="0.2">
      <c r="I47" s="19"/>
      <c r="J47" s="19"/>
      <c r="K47" s="19"/>
      <c r="L47" s="19"/>
      <c r="M47" s="19"/>
      <c r="N47" s="13"/>
      <c r="O47" s="13"/>
      <c r="P47" s="19"/>
      <c r="Q47" s="19"/>
      <c r="R47" s="19"/>
      <c r="S47" s="19"/>
      <c r="T47" s="20"/>
      <c r="U47" s="19"/>
    </row>
    <row r="48" spans="2:21" x14ac:dyDescent="0.2">
      <c r="I48" s="19"/>
      <c r="J48" s="19"/>
      <c r="K48" s="19"/>
      <c r="L48" s="19"/>
      <c r="M48" s="19"/>
      <c r="N48" s="80"/>
      <c r="O48" s="80"/>
      <c r="P48" s="83"/>
      <c r="Q48" s="19"/>
      <c r="R48" s="83"/>
      <c r="S48" s="19"/>
      <c r="T48" s="19"/>
      <c r="U48" s="19"/>
    </row>
    <row r="49" spans="2:8" x14ac:dyDescent="0.2">
      <c r="B49" s="66"/>
      <c r="D49" s="23"/>
      <c r="E49" s="23"/>
      <c r="F49" s="23"/>
      <c r="G49" s="23"/>
      <c r="H49" s="23"/>
    </row>
    <row r="57" spans="2:8" hidden="1" x14ac:dyDescent="0.2"/>
    <row r="59" spans="2:8" hidden="1" x14ac:dyDescent="0.2"/>
    <row r="63" spans="2:8" x14ac:dyDescent="0.2">
      <c r="C63" s="15"/>
    </row>
    <row r="64" spans="2:8" x14ac:dyDescent="0.2">
      <c r="C64" s="15"/>
    </row>
    <row r="67" spans="2:3" x14ac:dyDescent="0.2">
      <c r="B67" s="15"/>
      <c r="C67" s="15"/>
    </row>
    <row r="71" spans="2:3" x14ac:dyDescent="0.2">
      <c r="C71" s="12" t="s">
        <v>12</v>
      </c>
    </row>
  </sheetData>
  <mergeCells count="10">
    <mergeCell ref="C10:C11"/>
    <mergeCell ref="J10:K10"/>
    <mergeCell ref="H10:I10"/>
    <mergeCell ref="D10:E10"/>
    <mergeCell ref="F10:G10"/>
    <mergeCell ref="P10:Q10"/>
    <mergeCell ref="N10:O10"/>
    <mergeCell ref="L10:M10"/>
    <mergeCell ref="R10:S10"/>
    <mergeCell ref="C9:S9"/>
  </mergeCells>
  <printOptions horizontalCentered="1"/>
  <pageMargins left="0.75" right="0.75" top="1" bottom="1" header="0.5" footer="0.5"/>
  <pageSetup scale="51" orientation="portrait" r:id="rId1"/>
  <headerFooter alignWithMargins="0"/>
  <ignoredErrors>
    <ignoredError sqref="F15:F16 D14:K14 M14 O14" formula="1"/>
    <ignoredError sqref="G15:G16 G25 G21:G22 G18:G19 G27:G35" evalError="1" formula="1"/>
    <ignoredError sqref="O18:O19 O21:O37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9525</xdr:rowOff>
              </from>
              <to>
                <xdr:col>1</xdr:col>
                <xdr:colOff>266700</xdr:colOff>
                <xdr:row>3</xdr:row>
                <xdr:rowOff>95250</xdr:rowOff>
              </to>
            </anchor>
          </objectPr>
        </oleObject>
      </mc:Choice>
      <mc:Fallback>
        <oleObject progId="MSPhotoEd.3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B3:AI63"/>
  <sheetViews>
    <sheetView zoomScale="80" zoomScaleNormal="80" zoomScaleSheetLayoutView="100" workbookViewId="0">
      <selection activeCell="S2" sqref="S2"/>
    </sheetView>
  </sheetViews>
  <sheetFormatPr defaultColWidth="9.140625" defaultRowHeight="12.75" x14ac:dyDescent="0.2"/>
  <cols>
    <col min="1" max="1" width="9.140625" style="2"/>
    <col min="2" max="2" width="7.5703125" style="2" customWidth="1"/>
    <col min="3" max="3" width="17.140625" style="2" customWidth="1"/>
    <col min="4" max="16384" width="9.140625" style="2"/>
  </cols>
  <sheetData>
    <row r="3" spans="2:17" x14ac:dyDescent="0.2">
      <c r="N3" s="4" t="s">
        <v>109</v>
      </c>
    </row>
    <row r="7" spans="2:17" ht="15.75" x14ac:dyDescent="0.25">
      <c r="B7" s="17">
        <f>'.02'!B7+0.01</f>
        <v>15.03</v>
      </c>
      <c r="C7" s="126" t="s">
        <v>110</v>
      </c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</row>
    <row r="9" spans="2:17" x14ac:dyDescent="0.2">
      <c r="C9" s="130" t="s">
        <v>13</v>
      </c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</row>
    <row r="10" spans="2:17" x14ac:dyDescent="0.2">
      <c r="B10" s="1"/>
      <c r="C10" s="131" t="s">
        <v>25</v>
      </c>
      <c r="D10" s="128">
        <v>2015</v>
      </c>
      <c r="E10" s="129"/>
      <c r="F10" s="128">
        <v>2016</v>
      </c>
      <c r="G10" s="129"/>
      <c r="H10" s="128">
        <v>2017</v>
      </c>
      <c r="I10" s="129"/>
      <c r="J10" s="128">
        <v>2018</v>
      </c>
      <c r="K10" s="129"/>
      <c r="L10" s="128">
        <v>2019</v>
      </c>
      <c r="M10" s="129"/>
      <c r="N10" s="128">
        <v>2020</v>
      </c>
      <c r="O10" s="129"/>
      <c r="P10" s="128">
        <v>2021</v>
      </c>
      <c r="Q10" s="129"/>
    </row>
    <row r="11" spans="2:17" x14ac:dyDescent="0.2">
      <c r="B11" s="1"/>
      <c r="C11" s="132"/>
      <c r="D11" s="46" t="s">
        <v>15</v>
      </c>
      <c r="E11" s="45" t="s">
        <v>16</v>
      </c>
      <c r="F11" s="46" t="s">
        <v>15</v>
      </c>
      <c r="G11" s="45" t="s">
        <v>16</v>
      </c>
      <c r="H11" s="46" t="s">
        <v>15</v>
      </c>
      <c r="I11" s="45" t="s">
        <v>16</v>
      </c>
      <c r="J11" s="46" t="s">
        <v>15</v>
      </c>
      <c r="K11" s="45" t="s">
        <v>16</v>
      </c>
      <c r="L11" s="46" t="s">
        <v>15</v>
      </c>
      <c r="M11" s="45" t="s">
        <v>16</v>
      </c>
      <c r="N11" s="46" t="s">
        <v>15</v>
      </c>
      <c r="O11" s="45" t="s">
        <v>16</v>
      </c>
      <c r="P11" s="46" t="s">
        <v>15</v>
      </c>
      <c r="Q11" s="45" t="s">
        <v>16</v>
      </c>
    </row>
    <row r="12" spans="2:17" x14ac:dyDescent="0.2">
      <c r="B12" s="1"/>
      <c r="C12" s="48"/>
      <c r="D12" s="84"/>
      <c r="E12" s="85"/>
      <c r="F12" s="84"/>
      <c r="G12" s="85"/>
      <c r="H12" s="84"/>
      <c r="I12" s="85"/>
      <c r="J12" s="84"/>
      <c r="K12" s="85"/>
      <c r="L12" s="84"/>
      <c r="M12" s="85"/>
      <c r="N12" s="84"/>
      <c r="O12" s="85"/>
      <c r="P12" s="84"/>
      <c r="Q12" s="85"/>
    </row>
    <row r="13" spans="2:17" x14ac:dyDescent="0.2">
      <c r="B13" s="1"/>
      <c r="C13" s="48"/>
      <c r="D13" s="50"/>
      <c r="E13" s="49"/>
      <c r="F13" s="50"/>
      <c r="G13" s="49"/>
      <c r="H13" s="50"/>
      <c r="I13" s="49"/>
      <c r="J13" s="50"/>
      <c r="K13" s="49"/>
      <c r="L13" s="50"/>
      <c r="M13" s="49"/>
      <c r="N13" s="50"/>
      <c r="O13" s="49"/>
      <c r="P13" s="50"/>
      <c r="Q13" s="49"/>
    </row>
    <row r="14" spans="2:17" x14ac:dyDescent="0.2">
      <c r="C14" s="4" t="s">
        <v>26</v>
      </c>
      <c r="D14" s="86">
        <f>SUM(D17,D20,D23,D26,D29,D32,D35,D38,D41,D44,D47,D50)</f>
        <v>385.39999999999992</v>
      </c>
      <c r="E14" s="87">
        <f>E50+E47+E44+E41+E38+E35+E32+E29+E26+E23+E20+E17</f>
        <v>1.0000000000000002</v>
      </c>
      <c r="F14" s="86">
        <f>SUM(F17,F20,F23,F26,F29,F32,F35,F38,F41,F44,F47,F50)</f>
        <v>385.5</v>
      </c>
      <c r="G14" s="87">
        <f>G50+G47+G44+G41+G38+G35+G32+G29+G26+G23+G20+G17</f>
        <v>1</v>
      </c>
      <c r="H14" s="86">
        <f>SUM(H17,H20,H23,H26,H29,H32,H35,H38,H41,H44,H47,H50)</f>
        <v>418.40000000000003</v>
      </c>
      <c r="I14" s="88">
        <f>H14/$H$14</f>
        <v>1</v>
      </c>
      <c r="J14" s="86">
        <f>SUM(J17,J20,J23,J26,J29,J32,J35,J38,J41,J44,J47,J50)</f>
        <v>463</v>
      </c>
      <c r="K14" s="88">
        <f>ROUND(J14/$J$14,3)</f>
        <v>1</v>
      </c>
      <c r="L14" s="86">
        <f>SUM(L17,L20,L23,L26,L29,L32,L35,L38,L41,L44,L47,L50)</f>
        <v>502.7</v>
      </c>
      <c r="M14" s="88">
        <f>ROUND(L14/$L$14,3)</f>
        <v>1</v>
      </c>
      <c r="N14" s="86">
        <f>SUM(N17,N20,N23,N26,N29,N32,N35,N38,N41,N44,N47,N50)</f>
        <v>121.8</v>
      </c>
      <c r="O14" s="88">
        <f>ROUND(N14/$N$14,3)</f>
        <v>1</v>
      </c>
      <c r="P14" s="86">
        <f>SUM(P17,P20,P23,P26,P29,P32,P35,P38,P41,P44,P47,P50)</f>
        <v>17.3</v>
      </c>
      <c r="Q14" s="88">
        <f>ROUND(P14/$P$14,3)</f>
        <v>1</v>
      </c>
    </row>
    <row r="15" spans="2:17" x14ac:dyDescent="0.2">
      <c r="D15" s="60"/>
      <c r="E15" s="89"/>
      <c r="F15" s="60"/>
      <c r="G15" s="89"/>
      <c r="H15" s="60"/>
      <c r="I15" s="89"/>
      <c r="J15" s="60"/>
      <c r="K15" s="89"/>
      <c r="L15" s="60"/>
      <c r="M15" s="89"/>
      <c r="N15" s="60"/>
      <c r="O15" s="89"/>
      <c r="P15" s="60"/>
      <c r="Q15" s="89"/>
    </row>
    <row r="16" spans="2:17" x14ac:dyDescent="0.2">
      <c r="D16" s="63"/>
      <c r="E16" s="1"/>
      <c r="F16" s="63"/>
      <c r="G16" s="1"/>
      <c r="H16" s="63"/>
      <c r="I16" s="1"/>
      <c r="J16" s="63"/>
      <c r="K16" s="1"/>
      <c r="L16" s="63"/>
      <c r="M16" s="1"/>
      <c r="N16" s="63"/>
      <c r="O16" s="1"/>
      <c r="P16" s="63"/>
      <c r="Q16" s="1"/>
    </row>
    <row r="17" spans="3:17" x14ac:dyDescent="0.2">
      <c r="C17" s="2" t="s">
        <v>27</v>
      </c>
      <c r="D17" s="68">
        <v>34.4</v>
      </c>
      <c r="E17" s="90">
        <f>D17/D14</f>
        <v>8.9257913855734311E-2</v>
      </c>
      <c r="F17" s="68">
        <v>32.799999999999997</v>
      </c>
      <c r="G17" s="90">
        <f>F17/F14</f>
        <v>8.5084306095979237E-2</v>
      </c>
      <c r="H17" s="68">
        <v>31.6</v>
      </c>
      <c r="I17" s="90">
        <f>H17/$H$14</f>
        <v>7.5525812619502863E-2</v>
      </c>
      <c r="J17" s="68">
        <v>39.200000000000003</v>
      </c>
      <c r="K17" s="90">
        <f>ROUND(J17/$J$14,3)</f>
        <v>8.5000000000000006E-2</v>
      </c>
      <c r="L17" s="68">
        <v>41.4</v>
      </c>
      <c r="M17" s="90">
        <f>ROUND(L17/$L$14,3)</f>
        <v>8.2000000000000003E-2</v>
      </c>
      <c r="N17" s="68">
        <v>42.9</v>
      </c>
      <c r="O17" s="90">
        <f>ROUND(N17/$N$14,3)</f>
        <v>0.35199999999999998</v>
      </c>
      <c r="P17" s="68">
        <v>0.9</v>
      </c>
      <c r="Q17" s="90">
        <f>ROUND(P17/$P$14,3)</f>
        <v>5.1999999999999998E-2</v>
      </c>
    </row>
    <row r="18" spans="3:17" x14ac:dyDescent="0.2">
      <c r="D18" s="70"/>
      <c r="E18" s="90"/>
      <c r="F18" s="70"/>
      <c r="G18" s="90"/>
      <c r="H18" s="70"/>
      <c r="I18" s="90"/>
      <c r="J18" s="70"/>
      <c r="K18" s="90"/>
      <c r="L18" s="70"/>
      <c r="M18" s="90"/>
      <c r="N18" s="70"/>
      <c r="O18" s="90"/>
      <c r="P18" s="70"/>
      <c r="Q18" s="90"/>
    </row>
    <row r="19" spans="3:17" x14ac:dyDescent="0.2">
      <c r="D19" s="63"/>
      <c r="E19" s="90"/>
      <c r="F19" s="63"/>
      <c r="G19" s="90"/>
      <c r="H19" s="63"/>
      <c r="I19" s="90"/>
      <c r="J19" s="63"/>
      <c r="K19" s="90"/>
      <c r="L19" s="63"/>
      <c r="M19" s="90"/>
      <c r="N19" s="63"/>
      <c r="O19" s="90"/>
      <c r="P19" s="63"/>
      <c r="Q19" s="90"/>
    </row>
    <row r="20" spans="3:17" x14ac:dyDescent="0.2">
      <c r="C20" s="2" t="s">
        <v>28</v>
      </c>
      <c r="D20" s="68">
        <v>35.799999999999997</v>
      </c>
      <c r="E20" s="90">
        <f>D20/D14</f>
        <v>9.2890503373118855E-2</v>
      </c>
      <c r="F20" s="68">
        <v>34.799999999999997</v>
      </c>
      <c r="G20" s="90">
        <f>F20/F14</f>
        <v>9.027237354085603E-2</v>
      </c>
      <c r="H20" s="68">
        <v>35.6</v>
      </c>
      <c r="I20" s="90">
        <f>H20/$H$14</f>
        <v>8.5086042065009554E-2</v>
      </c>
      <c r="J20" s="68">
        <v>40</v>
      </c>
      <c r="K20" s="90">
        <f>ROUND(J20/$J$14,3)</f>
        <v>8.5999999999999993E-2</v>
      </c>
      <c r="L20" s="68">
        <v>44.8</v>
      </c>
      <c r="M20" s="90">
        <f>ROUND(L20/$L$14,3)</f>
        <v>8.8999999999999996E-2</v>
      </c>
      <c r="N20" s="68">
        <v>50.7</v>
      </c>
      <c r="O20" s="90">
        <f>ROUND(N20/$N$14,3)</f>
        <v>0.41599999999999998</v>
      </c>
      <c r="P20" s="68">
        <v>0.6</v>
      </c>
      <c r="Q20" s="90">
        <f>ROUND(P20/$P$14,3)</f>
        <v>3.5000000000000003E-2</v>
      </c>
    </row>
    <row r="21" spans="3:17" x14ac:dyDescent="0.2">
      <c r="D21" s="70"/>
      <c r="E21" s="90"/>
      <c r="F21" s="70"/>
      <c r="G21" s="90"/>
      <c r="H21" s="70"/>
      <c r="I21" s="90"/>
      <c r="J21" s="70"/>
      <c r="K21" s="90"/>
      <c r="L21" s="70"/>
      <c r="M21" s="90"/>
      <c r="N21" s="70"/>
      <c r="O21" s="90"/>
      <c r="P21" s="70"/>
      <c r="Q21" s="90"/>
    </row>
    <row r="22" spans="3:17" x14ac:dyDescent="0.2">
      <c r="D22" s="63"/>
      <c r="E22" s="90"/>
      <c r="F22" s="63"/>
      <c r="G22" s="90"/>
      <c r="H22" s="63"/>
      <c r="I22" s="90"/>
      <c r="J22" s="63"/>
      <c r="K22" s="90"/>
      <c r="L22" s="63"/>
      <c r="M22" s="90"/>
      <c r="N22" s="63"/>
      <c r="O22" s="90"/>
      <c r="P22" s="63"/>
      <c r="Q22" s="90"/>
    </row>
    <row r="23" spans="3:17" x14ac:dyDescent="0.2">
      <c r="C23" s="2" t="s">
        <v>29</v>
      </c>
      <c r="D23" s="68">
        <v>45.5</v>
      </c>
      <c r="E23" s="90">
        <f>D23/D14</f>
        <v>0.11805915931499743</v>
      </c>
      <c r="F23" s="68">
        <v>45.2</v>
      </c>
      <c r="G23" s="90">
        <f>F23/F14</f>
        <v>0.11725032425421532</v>
      </c>
      <c r="H23" s="68">
        <v>44.1</v>
      </c>
      <c r="I23" s="90">
        <f>H23/$H$14</f>
        <v>0.10540152963671127</v>
      </c>
      <c r="J23" s="68">
        <v>55</v>
      </c>
      <c r="K23" s="90">
        <f>ROUND(J23/$J$14,3)</f>
        <v>0.11899999999999999</v>
      </c>
      <c r="L23" s="68">
        <v>59.6</v>
      </c>
      <c r="M23" s="90">
        <f>ROUND(L23/$L$14,3)</f>
        <v>0.11899999999999999</v>
      </c>
      <c r="N23" s="68">
        <v>24.8</v>
      </c>
      <c r="O23" s="90">
        <f>ROUND(N23/$N$14,3)</f>
        <v>0.20399999999999999</v>
      </c>
      <c r="P23" s="68">
        <v>0.6</v>
      </c>
      <c r="Q23" s="90">
        <f>ROUND(P23/$P$14,3)</f>
        <v>3.5000000000000003E-2</v>
      </c>
    </row>
    <row r="24" spans="3:17" x14ac:dyDescent="0.2">
      <c r="D24" s="70"/>
      <c r="E24" s="90"/>
      <c r="F24" s="70"/>
      <c r="G24" s="90"/>
      <c r="H24" s="70"/>
      <c r="I24" s="90"/>
      <c r="J24" s="70"/>
      <c r="K24" s="90"/>
      <c r="L24" s="70"/>
      <c r="M24" s="90"/>
      <c r="N24" s="70"/>
      <c r="O24" s="90"/>
      <c r="P24" s="70"/>
      <c r="Q24" s="90"/>
    </row>
    <row r="25" spans="3:17" x14ac:dyDescent="0.2">
      <c r="D25" s="63"/>
      <c r="E25" s="90"/>
      <c r="F25" s="63"/>
      <c r="G25" s="90"/>
      <c r="H25" s="63"/>
      <c r="I25" s="90"/>
      <c r="J25" s="63"/>
      <c r="K25" s="90"/>
      <c r="L25" s="63"/>
      <c r="M25" s="90"/>
      <c r="N25" s="63"/>
      <c r="O25" s="90"/>
      <c r="P25" s="63"/>
      <c r="Q25" s="90"/>
    </row>
    <row r="26" spans="3:17" x14ac:dyDescent="0.2">
      <c r="C26" s="2" t="s">
        <v>30</v>
      </c>
      <c r="D26" s="68">
        <v>36</v>
      </c>
      <c r="E26" s="90">
        <f>D26/D14</f>
        <v>9.340944473274522E-2</v>
      </c>
      <c r="F26" s="68">
        <v>34.6</v>
      </c>
      <c r="G26" s="90">
        <f>F26/F14</f>
        <v>8.9753566796368353E-2</v>
      </c>
      <c r="H26" s="68">
        <v>38.9</v>
      </c>
      <c r="I26" s="90">
        <f>H26/$H$14</f>
        <v>9.2973231357552574E-2</v>
      </c>
      <c r="J26" s="68">
        <v>39.1</v>
      </c>
      <c r="K26" s="90">
        <f>ROUND(J26/$J$14,3)</f>
        <v>8.4000000000000005E-2</v>
      </c>
      <c r="L26" s="68">
        <v>46.1</v>
      </c>
      <c r="M26" s="90">
        <f>ROUND(L26/$L$14,3)</f>
        <v>9.1999999999999998E-2</v>
      </c>
      <c r="N26" s="68">
        <v>0.1</v>
      </c>
      <c r="O26" s="90">
        <f>ROUND(N26/$N$14,3)</f>
        <v>1E-3</v>
      </c>
      <c r="P26" s="68">
        <v>0.6</v>
      </c>
      <c r="Q26" s="90">
        <f>ROUND(P26/$P$14,3)</f>
        <v>3.5000000000000003E-2</v>
      </c>
    </row>
    <row r="27" spans="3:17" x14ac:dyDescent="0.2">
      <c r="D27" s="70"/>
      <c r="E27" s="90"/>
      <c r="F27" s="70"/>
      <c r="G27" s="90"/>
      <c r="H27" s="70"/>
      <c r="I27" s="90"/>
      <c r="J27" s="70"/>
      <c r="K27" s="90"/>
      <c r="L27" s="70"/>
      <c r="M27" s="90"/>
      <c r="N27" s="70"/>
      <c r="O27" s="90"/>
      <c r="P27" s="70"/>
      <c r="Q27" s="90"/>
    </row>
    <row r="28" spans="3:17" x14ac:dyDescent="0.2">
      <c r="D28" s="63"/>
      <c r="E28" s="90"/>
      <c r="F28" s="63"/>
      <c r="G28" s="90"/>
      <c r="H28" s="63"/>
      <c r="I28" s="90"/>
      <c r="J28" s="63"/>
      <c r="K28" s="90"/>
      <c r="L28" s="63"/>
      <c r="M28" s="90"/>
      <c r="N28" s="63"/>
      <c r="O28" s="90"/>
      <c r="P28" s="63"/>
      <c r="Q28" s="90"/>
    </row>
    <row r="29" spans="3:17" x14ac:dyDescent="0.2">
      <c r="C29" s="2" t="s">
        <v>31</v>
      </c>
      <c r="D29" s="68">
        <v>29.2</v>
      </c>
      <c r="E29" s="90">
        <f>D29/D14</f>
        <v>7.5765438505448895E-2</v>
      </c>
      <c r="F29" s="68">
        <v>28.8</v>
      </c>
      <c r="G29" s="90">
        <f>F29/F14</f>
        <v>7.4708171206225679E-2</v>
      </c>
      <c r="H29" s="68">
        <v>29.3</v>
      </c>
      <c r="I29" s="90">
        <f>H29/$H$14</f>
        <v>7.0028680688336523E-2</v>
      </c>
      <c r="J29" s="68">
        <v>35.9</v>
      </c>
      <c r="K29" s="90">
        <f>ROUND(J29/$J$14,3)</f>
        <v>7.8E-2</v>
      </c>
      <c r="L29" s="68">
        <v>40.6</v>
      </c>
      <c r="M29" s="90">
        <f>ROUND(L29/$L$14,3)</f>
        <v>8.1000000000000003E-2</v>
      </c>
      <c r="N29" s="68">
        <v>0.2</v>
      </c>
      <c r="O29" s="90">
        <f>ROUND(N29/$N$14,3)</f>
        <v>2E-3</v>
      </c>
      <c r="P29" s="68">
        <v>0.7</v>
      </c>
      <c r="Q29" s="90">
        <f>ROUND(P29/$P$14,3)</f>
        <v>0.04</v>
      </c>
    </row>
    <row r="30" spans="3:17" x14ac:dyDescent="0.2">
      <c r="D30" s="70"/>
      <c r="E30" s="90"/>
      <c r="F30" s="70"/>
      <c r="G30" s="90"/>
      <c r="H30" s="70"/>
      <c r="I30" s="90"/>
      <c r="J30" s="70"/>
      <c r="K30" s="90"/>
      <c r="L30" s="70"/>
      <c r="M30" s="90"/>
      <c r="N30" s="70"/>
      <c r="O30" s="90"/>
      <c r="P30" s="70"/>
      <c r="Q30" s="90"/>
    </row>
    <row r="31" spans="3:17" x14ac:dyDescent="0.2">
      <c r="D31" s="63"/>
      <c r="E31" s="90"/>
      <c r="F31" s="63"/>
      <c r="G31" s="90"/>
      <c r="H31" s="63"/>
      <c r="I31" s="90"/>
      <c r="J31" s="63"/>
      <c r="K31" s="90"/>
      <c r="L31" s="63"/>
      <c r="M31" s="90"/>
      <c r="N31" s="63"/>
      <c r="O31" s="90"/>
      <c r="P31" s="63"/>
      <c r="Q31" s="90"/>
    </row>
    <row r="32" spans="3:17" x14ac:dyDescent="0.2">
      <c r="C32" s="2" t="s">
        <v>32</v>
      </c>
      <c r="D32" s="68">
        <v>32.6</v>
      </c>
      <c r="E32" s="90">
        <f>D32/D14</f>
        <v>8.4587441619097065E-2</v>
      </c>
      <c r="F32" s="68">
        <v>34.299999999999997</v>
      </c>
      <c r="G32" s="90">
        <f>F32/F14</f>
        <v>8.8975356679636824E-2</v>
      </c>
      <c r="H32" s="68">
        <v>38.700000000000003</v>
      </c>
      <c r="I32" s="90">
        <f>H32/$H$14</f>
        <v>9.2495219885277244E-2</v>
      </c>
      <c r="J32" s="68">
        <v>43.8</v>
      </c>
      <c r="K32" s="90">
        <f>ROUND(J32/$J$14,3)</f>
        <v>9.5000000000000001E-2</v>
      </c>
      <c r="L32" s="68">
        <v>48.2</v>
      </c>
      <c r="M32" s="90">
        <f>ROUND(L32/$L$14,3)</f>
        <v>9.6000000000000002E-2</v>
      </c>
      <c r="N32" s="68">
        <v>0.2</v>
      </c>
      <c r="O32" s="90">
        <f>ROUND(N32/$N$14,3)</f>
        <v>2E-3</v>
      </c>
      <c r="P32" s="68">
        <v>0.9</v>
      </c>
      <c r="Q32" s="90">
        <f>ROUND(P32/$P$14,3)</f>
        <v>5.1999999999999998E-2</v>
      </c>
    </row>
    <row r="33" spans="3:17" x14ac:dyDescent="0.2">
      <c r="D33" s="70"/>
      <c r="E33" s="90"/>
      <c r="F33" s="70"/>
      <c r="G33" s="90"/>
      <c r="H33" s="70"/>
      <c r="I33" s="90"/>
      <c r="J33" s="70"/>
      <c r="K33" s="90"/>
      <c r="L33" s="70"/>
      <c r="M33" s="90"/>
      <c r="N33" s="70"/>
      <c r="O33" s="90"/>
      <c r="P33" s="70"/>
      <c r="Q33" s="90"/>
    </row>
    <row r="34" spans="3:17" x14ac:dyDescent="0.2">
      <c r="D34" s="63"/>
      <c r="E34" s="90"/>
      <c r="F34" s="63"/>
      <c r="G34" s="90"/>
      <c r="H34" s="63"/>
      <c r="I34" s="90"/>
      <c r="J34" s="63"/>
      <c r="K34" s="90"/>
      <c r="L34" s="63"/>
      <c r="M34" s="90"/>
      <c r="N34" s="63"/>
      <c r="O34" s="90"/>
      <c r="P34" s="63"/>
      <c r="Q34" s="90"/>
    </row>
    <row r="35" spans="3:17" x14ac:dyDescent="0.2">
      <c r="C35" s="2" t="s">
        <v>33</v>
      </c>
      <c r="D35" s="68">
        <v>37.799999999999997</v>
      </c>
      <c r="E35" s="90">
        <f>D35/D14</f>
        <v>9.8079916969382466E-2</v>
      </c>
      <c r="F35" s="68">
        <v>42.7</v>
      </c>
      <c r="G35" s="90">
        <f>F35/F14</f>
        <v>0.11076523994811933</v>
      </c>
      <c r="H35" s="68">
        <v>45.6</v>
      </c>
      <c r="I35" s="90">
        <f>H35/$H$14</f>
        <v>0.10898661567877628</v>
      </c>
      <c r="J35" s="68">
        <v>47.1</v>
      </c>
      <c r="K35" s="90">
        <v>0.10099999999999999</v>
      </c>
      <c r="L35" s="68">
        <v>51.6</v>
      </c>
      <c r="M35" s="90">
        <f>ROUND(L35/$L$14,3)</f>
        <v>0.10299999999999999</v>
      </c>
      <c r="N35" s="68">
        <v>0.2</v>
      </c>
      <c r="O35" s="90">
        <f>ROUND(N35/$N$14,3)</f>
        <v>2E-3</v>
      </c>
      <c r="P35" s="68">
        <v>1</v>
      </c>
      <c r="Q35" s="90">
        <f>ROUND(P35/$P$14,3)</f>
        <v>5.8000000000000003E-2</v>
      </c>
    </row>
    <row r="36" spans="3:17" x14ac:dyDescent="0.2">
      <c r="D36" s="70"/>
      <c r="E36" s="90"/>
      <c r="F36" s="70"/>
      <c r="G36" s="90"/>
      <c r="H36" s="70"/>
      <c r="I36" s="90"/>
      <c r="J36" s="70"/>
      <c r="K36" s="90"/>
      <c r="L36" s="70"/>
      <c r="M36" s="90"/>
      <c r="N36" s="70"/>
      <c r="O36" s="90"/>
      <c r="P36" s="70"/>
      <c r="Q36" s="90"/>
    </row>
    <row r="37" spans="3:17" x14ac:dyDescent="0.2">
      <c r="D37" s="63"/>
      <c r="E37" s="90"/>
      <c r="F37" s="63"/>
      <c r="G37" s="90"/>
      <c r="H37" s="63"/>
      <c r="I37" s="90"/>
      <c r="J37" s="63"/>
      <c r="K37" s="90"/>
      <c r="L37" s="63"/>
      <c r="M37" s="90"/>
      <c r="N37" s="63"/>
      <c r="O37" s="90"/>
      <c r="P37" s="63"/>
      <c r="Q37" s="90"/>
    </row>
    <row r="38" spans="3:17" x14ac:dyDescent="0.2">
      <c r="C38" s="2" t="s">
        <v>34</v>
      </c>
      <c r="D38" s="68">
        <v>29</v>
      </c>
      <c r="E38" s="90">
        <f>D38/D14</f>
        <v>7.5246497145822544E-2</v>
      </c>
      <c r="F38" s="68">
        <v>28.6</v>
      </c>
      <c r="G38" s="90">
        <f>F38/F14</f>
        <v>7.4189364461738003E-2</v>
      </c>
      <c r="H38" s="68">
        <v>31.4</v>
      </c>
      <c r="I38" s="90">
        <f>H38/$H$14</f>
        <v>7.5047801147227519E-2</v>
      </c>
      <c r="J38" s="68">
        <v>33.9</v>
      </c>
      <c r="K38" s="90">
        <f>ROUND(J38/$J$14,3)</f>
        <v>7.2999999999999995E-2</v>
      </c>
      <c r="L38" s="68">
        <v>37.4</v>
      </c>
      <c r="M38" s="90">
        <f>ROUND(L38/$L$14,3)</f>
        <v>7.3999999999999996E-2</v>
      </c>
      <c r="N38" s="68">
        <v>0.2</v>
      </c>
      <c r="O38" s="90">
        <f>ROUND(N38/$N$14,3)</f>
        <v>2E-3</v>
      </c>
      <c r="P38" s="68">
        <v>0.7</v>
      </c>
      <c r="Q38" s="90">
        <f>ROUND(P38/$P$14,3)</f>
        <v>0.04</v>
      </c>
    </row>
    <row r="39" spans="3:17" x14ac:dyDescent="0.2">
      <c r="D39" s="70"/>
      <c r="E39" s="90"/>
      <c r="F39" s="70"/>
      <c r="G39" s="90"/>
      <c r="H39" s="70"/>
      <c r="I39" s="90"/>
      <c r="J39" s="70"/>
      <c r="K39" s="90"/>
      <c r="L39" s="70"/>
      <c r="M39" s="90"/>
      <c r="N39" s="70"/>
      <c r="O39" s="90"/>
      <c r="P39" s="70"/>
      <c r="Q39" s="90"/>
    </row>
    <row r="40" spans="3:17" x14ac:dyDescent="0.2">
      <c r="D40" s="63"/>
      <c r="E40" s="90"/>
      <c r="F40" s="63"/>
      <c r="G40" s="90"/>
      <c r="H40" s="63"/>
      <c r="I40" s="90"/>
      <c r="J40" s="63"/>
      <c r="K40" s="90"/>
      <c r="L40" s="63"/>
      <c r="M40" s="90"/>
      <c r="N40" s="63"/>
      <c r="O40" s="90"/>
      <c r="P40" s="63"/>
      <c r="Q40" s="90"/>
    </row>
    <row r="41" spans="3:17" x14ac:dyDescent="0.2">
      <c r="C41" s="2" t="s">
        <v>35</v>
      </c>
      <c r="D41" s="68">
        <v>15.2</v>
      </c>
      <c r="E41" s="90">
        <f>D41/D14</f>
        <v>3.9439543331603537E-2</v>
      </c>
      <c r="F41" s="68">
        <v>14.7</v>
      </c>
      <c r="G41" s="90">
        <f>F41/F14</f>
        <v>3.8132295719844354E-2</v>
      </c>
      <c r="H41" s="68">
        <v>16.899999999999999</v>
      </c>
      <c r="I41" s="90">
        <f>H41/$H$14</f>
        <v>4.039196940726577E-2</v>
      </c>
      <c r="J41" s="68">
        <v>16.3</v>
      </c>
      <c r="K41" s="90">
        <f>ROUND(J41/$J$14,3)</f>
        <v>3.5000000000000003E-2</v>
      </c>
      <c r="L41" s="68">
        <v>16.600000000000001</v>
      </c>
      <c r="M41" s="90">
        <f>ROUND(L41/$L$14,3)</f>
        <v>3.3000000000000002E-2</v>
      </c>
      <c r="N41" s="68">
        <v>0.3</v>
      </c>
      <c r="O41" s="90">
        <f>ROUND(N41/$N$14,3)</f>
        <v>2E-3</v>
      </c>
      <c r="P41" s="68">
        <v>0.7</v>
      </c>
      <c r="Q41" s="90">
        <f>ROUND(P41/$P$14,3)</f>
        <v>0.04</v>
      </c>
    </row>
    <row r="42" spans="3:17" x14ac:dyDescent="0.2">
      <c r="D42" s="70"/>
      <c r="E42" s="90"/>
      <c r="F42" s="70"/>
      <c r="G42" s="90"/>
      <c r="H42" s="70"/>
      <c r="I42" s="90"/>
      <c r="J42" s="70"/>
      <c r="K42" s="90"/>
      <c r="L42" s="70"/>
      <c r="M42" s="90"/>
      <c r="N42" s="70"/>
      <c r="O42" s="90"/>
      <c r="P42" s="70"/>
      <c r="Q42" s="90"/>
    </row>
    <row r="43" spans="3:17" x14ac:dyDescent="0.2">
      <c r="D43" s="63"/>
      <c r="E43" s="90"/>
      <c r="F43" s="63"/>
      <c r="G43" s="90"/>
      <c r="H43" s="63"/>
      <c r="I43" s="90"/>
      <c r="J43" s="63"/>
      <c r="K43" s="90"/>
      <c r="L43" s="63"/>
      <c r="M43" s="90"/>
      <c r="N43" s="63"/>
      <c r="O43" s="90"/>
      <c r="P43" s="63"/>
      <c r="Q43" s="90"/>
    </row>
    <row r="44" spans="3:17" x14ac:dyDescent="0.2">
      <c r="C44" s="2" t="s">
        <v>36</v>
      </c>
      <c r="D44" s="68">
        <v>20.2</v>
      </c>
      <c r="E44" s="90">
        <f>D44/D14</f>
        <v>5.2413077322262594E-2</v>
      </c>
      <c r="F44" s="68">
        <v>19.5</v>
      </c>
      <c r="G44" s="90">
        <f>F44/F14</f>
        <v>5.0583657587548639E-2</v>
      </c>
      <c r="H44" s="68">
        <v>22.3</v>
      </c>
      <c r="I44" s="90">
        <f>H44/$H$14</f>
        <v>5.3298279158699807E-2</v>
      </c>
      <c r="J44" s="68">
        <v>22.5</v>
      </c>
      <c r="K44" s="90">
        <f>ROUND(J44/$J$14,3)</f>
        <v>4.9000000000000002E-2</v>
      </c>
      <c r="L44" s="68">
        <v>23.8</v>
      </c>
      <c r="M44" s="90">
        <f>ROUND(L44/$L$14,3)</f>
        <v>4.7E-2</v>
      </c>
      <c r="N44" s="68">
        <v>0.5</v>
      </c>
      <c r="O44" s="90">
        <f>ROUND(N44/$N$14,3)</f>
        <v>4.0000000000000001E-3</v>
      </c>
      <c r="P44" s="68">
        <v>1</v>
      </c>
      <c r="Q44" s="90">
        <f>ROUND(P44/$P$14,3)</f>
        <v>5.8000000000000003E-2</v>
      </c>
    </row>
    <row r="45" spans="3:17" x14ac:dyDescent="0.2">
      <c r="D45" s="70"/>
      <c r="E45" s="90"/>
      <c r="F45" s="70"/>
      <c r="G45" s="90"/>
      <c r="H45" s="70"/>
      <c r="I45" s="90"/>
      <c r="J45" s="70"/>
      <c r="K45" s="90"/>
      <c r="L45" s="70"/>
      <c r="M45" s="90"/>
      <c r="N45" s="70"/>
      <c r="O45" s="90"/>
      <c r="P45" s="70"/>
      <c r="Q45" s="90"/>
    </row>
    <row r="46" spans="3:17" x14ac:dyDescent="0.2">
      <c r="D46" s="63"/>
      <c r="E46" s="90"/>
      <c r="F46" s="63"/>
      <c r="G46" s="90"/>
      <c r="H46" s="63"/>
      <c r="I46" s="90"/>
      <c r="J46" s="63"/>
      <c r="K46" s="90"/>
      <c r="L46" s="63"/>
      <c r="M46" s="90"/>
      <c r="N46" s="63"/>
      <c r="O46" s="90"/>
      <c r="P46" s="63"/>
      <c r="Q46" s="90"/>
    </row>
    <row r="47" spans="3:17" x14ac:dyDescent="0.2">
      <c r="C47" s="2" t="s">
        <v>37</v>
      </c>
      <c r="D47" s="67">
        <v>29.8</v>
      </c>
      <c r="E47" s="90">
        <f>D47/D14</f>
        <v>7.7322262584327991E-2</v>
      </c>
      <c r="F47" s="67">
        <v>29.2</v>
      </c>
      <c r="G47" s="90">
        <f>F47/F14</f>
        <v>7.5745784695201032E-2</v>
      </c>
      <c r="H47" s="67">
        <v>35</v>
      </c>
      <c r="I47" s="90">
        <f>H47/$H$14</f>
        <v>8.3652007648183549E-2</v>
      </c>
      <c r="J47" s="67">
        <v>38.200000000000003</v>
      </c>
      <c r="K47" s="90">
        <f>ROUND(J47/$J$14,3)</f>
        <v>8.3000000000000004E-2</v>
      </c>
      <c r="L47" s="67">
        <v>38.4</v>
      </c>
      <c r="M47" s="90">
        <f>ROUND(L47/$L$14,3)</f>
        <v>7.5999999999999998E-2</v>
      </c>
      <c r="N47" s="68">
        <v>0.7</v>
      </c>
      <c r="O47" s="90">
        <f>ROUND(N47/$N$14,3)</f>
        <v>6.0000000000000001E-3</v>
      </c>
      <c r="P47" s="68">
        <v>2</v>
      </c>
      <c r="Q47" s="90">
        <f>ROUND(P47/$P$14,3)</f>
        <v>0.11600000000000001</v>
      </c>
    </row>
    <row r="48" spans="3:17" x14ac:dyDescent="0.2">
      <c r="D48" s="70"/>
      <c r="E48" s="90"/>
      <c r="F48" s="70"/>
      <c r="G48" s="90"/>
      <c r="H48" s="70"/>
      <c r="I48" s="90"/>
      <c r="J48" s="70"/>
      <c r="K48" s="90"/>
      <c r="L48" s="70"/>
      <c r="M48" s="90"/>
      <c r="N48" s="70"/>
      <c r="O48" s="90"/>
      <c r="P48" s="70"/>
      <c r="Q48" s="90"/>
    </row>
    <row r="49" spans="2:17" x14ac:dyDescent="0.2">
      <c r="D49" s="63"/>
      <c r="E49" s="90"/>
      <c r="F49" s="63"/>
      <c r="G49" s="90"/>
      <c r="H49" s="63"/>
      <c r="I49" s="90"/>
      <c r="J49" s="63"/>
      <c r="K49" s="90"/>
      <c r="L49" s="63"/>
      <c r="M49" s="90"/>
      <c r="N49" s="63"/>
      <c r="O49" s="90"/>
      <c r="P49" s="63"/>
      <c r="Q49" s="90"/>
    </row>
    <row r="50" spans="2:17" x14ac:dyDescent="0.2">
      <c r="C50" s="2" t="s">
        <v>38</v>
      </c>
      <c r="D50" s="67">
        <v>39.9</v>
      </c>
      <c r="E50" s="90">
        <f>D50/D14</f>
        <v>0.10352880124545928</v>
      </c>
      <c r="F50" s="67">
        <v>40.299999999999997</v>
      </c>
      <c r="G50" s="90">
        <f>F50/F14</f>
        <v>0.10453955901426717</v>
      </c>
      <c r="H50" s="67">
        <v>49</v>
      </c>
      <c r="I50" s="90">
        <f>H50/$H$14</f>
        <v>0.11711281070745697</v>
      </c>
      <c r="J50" s="67">
        <v>52</v>
      </c>
      <c r="K50" s="90">
        <f>ROUND(J50/$J$14,3)</f>
        <v>0.112</v>
      </c>
      <c r="L50" s="67">
        <v>54.2</v>
      </c>
      <c r="M50" s="90">
        <f>ROUND(L50/$L$14,3)</f>
        <v>0.108</v>
      </c>
      <c r="N50" s="67">
        <v>1</v>
      </c>
      <c r="O50" s="90">
        <v>8.0000000000000002E-3</v>
      </c>
      <c r="P50" s="67">
        <v>7.6</v>
      </c>
      <c r="Q50" s="90">
        <f>ROUND(P50/$P$14,3)</f>
        <v>0.439</v>
      </c>
    </row>
    <row r="51" spans="2:17" x14ac:dyDescent="0.2">
      <c r="D51" s="70"/>
      <c r="E51" s="90"/>
      <c r="F51" s="70"/>
      <c r="G51" s="90"/>
      <c r="H51" s="70"/>
      <c r="I51" s="90"/>
      <c r="J51" s="70"/>
      <c r="K51" s="90"/>
      <c r="L51" s="70"/>
      <c r="M51" s="90"/>
      <c r="N51" s="70"/>
      <c r="O51" s="90"/>
      <c r="P51" s="70"/>
      <c r="Q51" s="90"/>
    </row>
    <row r="52" spans="2:17" x14ac:dyDescent="0.2">
      <c r="B52" s="1"/>
      <c r="C52" s="74"/>
      <c r="D52" s="75"/>
      <c r="E52" s="74"/>
      <c r="F52" s="75"/>
      <c r="G52" s="74"/>
      <c r="H52" s="75"/>
      <c r="I52" s="74"/>
      <c r="J52" s="75"/>
      <c r="K52" s="74"/>
      <c r="L52" s="75"/>
      <c r="M52" s="74"/>
      <c r="N52" s="75"/>
      <c r="O52" s="74"/>
      <c r="P52" s="75"/>
      <c r="Q52" s="74"/>
    </row>
    <row r="54" spans="2:17" x14ac:dyDescent="0.2">
      <c r="C54" s="91"/>
    </row>
    <row r="55" spans="2:17" ht="14.25" x14ac:dyDescent="0.2">
      <c r="B55" s="22"/>
      <c r="C55" s="12" t="s">
        <v>99</v>
      </c>
    </row>
    <row r="57" spans="2:17" x14ac:dyDescent="0.2">
      <c r="C57" s="26"/>
    </row>
    <row r="58" spans="2:17" x14ac:dyDescent="0.2">
      <c r="C58" s="26"/>
    </row>
    <row r="61" spans="2:17" x14ac:dyDescent="0.2">
      <c r="C61" s="15"/>
    </row>
    <row r="62" spans="2:17" ht="9" customHeight="1" x14ac:dyDescent="0.2">
      <c r="B62" s="15"/>
      <c r="C62" s="15"/>
    </row>
    <row r="63" spans="2:17" x14ac:dyDescent="0.2">
      <c r="B63" s="39"/>
      <c r="C63" s="39"/>
    </row>
  </sheetData>
  <mergeCells count="10">
    <mergeCell ref="N10:O10"/>
    <mergeCell ref="L10:M10"/>
    <mergeCell ref="J10:K10"/>
    <mergeCell ref="P10:Q10"/>
    <mergeCell ref="C9:Q9"/>
    <mergeCell ref="C10:C11"/>
    <mergeCell ref="H10:I10"/>
    <mergeCell ref="F10:G10"/>
    <mergeCell ref="D10:E10"/>
    <mergeCell ref="C7:Q7"/>
  </mergeCells>
  <printOptions horizontalCentered="1"/>
  <pageMargins left="1" right="1" top="1" bottom="1" header="0.5" footer="0.24"/>
  <pageSetup scale="50" orientation="portrait" horizontalDpi="300" verticalDpi="300" r:id="rId1"/>
  <headerFooter alignWithMargins="0"/>
  <ignoredErrors>
    <ignoredError sqref="E15:E52" evalError="1"/>
    <ignoredError sqref="D14 F14:I14 K14 M14 O14" formula="1"/>
    <ignoredError sqref="E14" evalError="1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 moveWithCells="1" sizeWithCells="1">
              <from>
                <xdr:col>1</xdr:col>
                <xdr:colOff>85725</xdr:colOff>
                <xdr:row>1</xdr:row>
                <xdr:rowOff>104775</xdr:rowOff>
              </from>
              <to>
                <xdr:col>2</xdr:col>
                <xdr:colOff>638175</xdr:colOff>
                <xdr:row>4</xdr:row>
                <xdr:rowOff>38100</xdr:rowOff>
              </to>
            </anchor>
          </objectPr>
        </oleObject>
      </mc:Choice>
      <mc:Fallback>
        <oleObject progId="MSPhotoEd.3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B3:O94"/>
  <sheetViews>
    <sheetView zoomScale="90" zoomScaleNormal="90" workbookViewId="0">
      <selection activeCell="F2" sqref="F2"/>
    </sheetView>
  </sheetViews>
  <sheetFormatPr defaultColWidth="9.140625" defaultRowHeight="12.75" x14ac:dyDescent="0.2"/>
  <cols>
    <col min="1" max="1" width="9.140625" style="2" customWidth="1"/>
    <col min="2" max="2" width="7.85546875" style="2" customWidth="1"/>
    <col min="3" max="3" width="25.5703125" style="2" customWidth="1"/>
    <col min="4" max="6" width="13.42578125" style="2" customWidth="1"/>
    <col min="7" max="7" width="10.5703125" style="2" customWidth="1"/>
    <col min="8" max="8" width="10.5703125" style="2" bestFit="1" customWidth="1"/>
    <col min="9" max="9" width="10.42578125" style="2" customWidth="1"/>
    <col min="10" max="10" width="9.42578125" style="2" customWidth="1"/>
    <col min="11" max="16384" width="9.140625" style="2"/>
  </cols>
  <sheetData>
    <row r="3" spans="2:15" x14ac:dyDescent="0.2">
      <c r="L3" s="4" t="s">
        <v>109</v>
      </c>
    </row>
    <row r="4" spans="2:15" ht="15" x14ac:dyDescent="0.25">
      <c r="G4" s="40"/>
      <c r="H4" s="40"/>
    </row>
    <row r="5" spans="2:15" ht="9" customHeight="1" x14ac:dyDescent="0.2"/>
    <row r="8" spans="2:15" ht="15.75" x14ac:dyDescent="0.25">
      <c r="B8" s="17">
        <v>15.04</v>
      </c>
      <c r="C8" s="126" t="s">
        <v>111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</row>
    <row r="10" spans="2:15" x14ac:dyDescent="0.2">
      <c r="D10" s="92"/>
      <c r="E10" s="92"/>
      <c r="H10" s="92"/>
      <c r="I10" s="92"/>
      <c r="J10" s="92"/>
      <c r="M10" s="92"/>
      <c r="O10" s="92" t="s">
        <v>39</v>
      </c>
    </row>
    <row r="11" spans="2:15" x14ac:dyDescent="0.2">
      <c r="C11" s="93"/>
      <c r="D11" s="94">
        <v>2010</v>
      </c>
      <c r="E11" s="94">
        <v>2011</v>
      </c>
      <c r="F11" s="94">
        <v>2012</v>
      </c>
      <c r="G11" s="94">
        <v>2013</v>
      </c>
      <c r="H11" s="94">
        <v>2014</v>
      </c>
      <c r="I11" s="94">
        <v>2015</v>
      </c>
      <c r="J11" s="94">
        <v>2016</v>
      </c>
      <c r="K11" s="94">
        <v>2017</v>
      </c>
      <c r="L11" s="94">
        <v>2018</v>
      </c>
      <c r="M11" s="94">
        <v>2019</v>
      </c>
      <c r="N11" s="94">
        <v>2020</v>
      </c>
      <c r="O11" s="94">
        <v>2021</v>
      </c>
    </row>
    <row r="13" spans="2:15" x14ac:dyDescent="0.2">
      <c r="C13" s="4" t="s">
        <v>40</v>
      </c>
    </row>
    <row r="14" spans="2:15" x14ac:dyDescent="0.2">
      <c r="C14" s="2" t="s">
        <v>41</v>
      </c>
      <c r="D14" s="7">
        <v>51.4</v>
      </c>
      <c r="E14" s="7">
        <v>51.2</v>
      </c>
      <c r="F14" s="7">
        <v>51.2</v>
      </c>
      <c r="G14" s="7">
        <v>51.3</v>
      </c>
      <c r="H14" s="7">
        <v>51.7</v>
      </c>
      <c r="I14" s="7">
        <v>51.7</v>
      </c>
      <c r="J14" s="7">
        <v>51.8</v>
      </c>
      <c r="K14" s="7">
        <v>52.153067736129998</v>
      </c>
      <c r="L14" s="7">
        <v>52.1</v>
      </c>
      <c r="M14" s="7">
        <v>52.5</v>
      </c>
      <c r="N14" s="7">
        <v>51.5</v>
      </c>
      <c r="O14" s="7">
        <v>43.7</v>
      </c>
    </row>
    <row r="15" spans="2:15" x14ac:dyDescent="0.2">
      <c r="C15" s="2" t="s">
        <v>42</v>
      </c>
      <c r="D15" s="7">
        <v>48.6</v>
      </c>
      <c r="E15" s="7">
        <v>48.8</v>
      </c>
      <c r="F15" s="7">
        <v>48.8</v>
      </c>
      <c r="G15" s="7">
        <v>48.7</v>
      </c>
      <c r="H15" s="7">
        <v>48.3</v>
      </c>
      <c r="I15" s="7">
        <v>48.3</v>
      </c>
      <c r="J15" s="7">
        <v>48.2</v>
      </c>
      <c r="K15" s="7">
        <v>47.846932263870002</v>
      </c>
      <c r="L15" s="7">
        <v>47.9</v>
      </c>
      <c r="M15" s="7">
        <v>47.5</v>
      </c>
      <c r="N15" s="7">
        <v>48.5</v>
      </c>
      <c r="O15" s="7">
        <v>56.3</v>
      </c>
    </row>
    <row r="16" spans="2:15" x14ac:dyDescent="0.2"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</row>
    <row r="17" spans="3:15" x14ac:dyDescent="0.2">
      <c r="C17" s="4" t="s">
        <v>43</v>
      </c>
    </row>
    <row r="18" spans="3:15" x14ac:dyDescent="0.2">
      <c r="C18" s="26" t="s">
        <v>44</v>
      </c>
      <c r="D18" s="7">
        <v>15.7</v>
      </c>
      <c r="E18" s="7">
        <v>15.5</v>
      </c>
      <c r="F18" s="7">
        <v>15.6</v>
      </c>
      <c r="G18" s="7">
        <v>15.7</v>
      </c>
      <c r="H18" s="7">
        <v>15.6</v>
      </c>
      <c r="I18" s="7">
        <v>15.8</v>
      </c>
      <c r="J18" s="7">
        <v>16.399999999999999</v>
      </c>
      <c r="K18" s="7">
        <v>17</v>
      </c>
      <c r="L18" s="7">
        <v>16.7</v>
      </c>
      <c r="M18" s="7">
        <v>17.2</v>
      </c>
      <c r="N18" s="7">
        <v>13.1</v>
      </c>
      <c r="O18" s="7">
        <v>12.2</v>
      </c>
    </row>
    <row r="19" spans="3:15" x14ac:dyDescent="0.2">
      <c r="C19" s="26" t="s">
        <v>45</v>
      </c>
      <c r="D19" s="7">
        <v>21.1</v>
      </c>
      <c r="E19" s="7">
        <v>20.8</v>
      </c>
      <c r="F19" s="7">
        <v>20.399999999999999</v>
      </c>
      <c r="G19" s="7">
        <v>19.8</v>
      </c>
      <c r="H19" s="7">
        <v>19.899999999999999</v>
      </c>
      <c r="I19" s="7">
        <v>20.100000000000001</v>
      </c>
      <c r="J19" s="7">
        <v>19.399999999999999</v>
      </c>
      <c r="K19" s="7">
        <v>19.399999999999999</v>
      </c>
      <c r="L19" s="7">
        <v>19.7</v>
      </c>
      <c r="M19" s="7">
        <v>19.8</v>
      </c>
      <c r="N19" s="7">
        <v>18.8</v>
      </c>
      <c r="O19" s="7">
        <v>25.4</v>
      </c>
    </row>
    <row r="20" spans="3:15" x14ac:dyDescent="0.2">
      <c r="C20" s="26" t="s">
        <v>46</v>
      </c>
      <c r="D20" s="7">
        <v>27.4</v>
      </c>
      <c r="E20" s="7">
        <v>26.8</v>
      </c>
      <c r="F20" s="7">
        <v>26.3</v>
      </c>
      <c r="G20" s="7">
        <v>26.1</v>
      </c>
      <c r="H20" s="7">
        <v>25.5</v>
      </c>
      <c r="I20" s="7">
        <v>24.7</v>
      </c>
      <c r="J20" s="7">
        <v>24.4</v>
      </c>
      <c r="K20" s="7">
        <v>24.7</v>
      </c>
      <c r="L20" s="7">
        <v>24.9</v>
      </c>
      <c r="M20" s="7">
        <v>25.3</v>
      </c>
      <c r="N20" s="7">
        <v>23</v>
      </c>
      <c r="O20" s="7">
        <v>18.2</v>
      </c>
    </row>
    <row r="21" spans="3:15" x14ac:dyDescent="0.2">
      <c r="C21" s="26" t="s">
        <v>47</v>
      </c>
      <c r="D21" s="7">
        <v>21.5</v>
      </c>
      <c r="E21" s="7">
        <v>21.9</v>
      </c>
      <c r="F21" s="7">
        <v>22.2</v>
      </c>
      <c r="G21" s="7">
        <v>22.6</v>
      </c>
      <c r="H21" s="7">
        <v>22.6</v>
      </c>
      <c r="I21" s="7">
        <v>22.4</v>
      </c>
      <c r="J21" s="7">
        <v>22.6</v>
      </c>
      <c r="K21" s="7">
        <v>21.9</v>
      </c>
      <c r="L21" s="7">
        <v>21.5</v>
      </c>
      <c r="M21" s="7">
        <v>20.9</v>
      </c>
      <c r="N21" s="7">
        <v>22.9</v>
      </c>
      <c r="O21" s="7">
        <v>20.399999999999999</v>
      </c>
    </row>
    <row r="22" spans="3:15" x14ac:dyDescent="0.2">
      <c r="C22" s="26" t="s">
        <v>48</v>
      </c>
      <c r="D22" s="7">
        <v>14.4</v>
      </c>
      <c r="E22" s="7">
        <v>15</v>
      </c>
      <c r="F22" s="7">
        <v>15.5</v>
      </c>
      <c r="G22" s="7">
        <v>15.8</v>
      </c>
      <c r="H22" s="7">
        <v>16.37</v>
      </c>
      <c r="I22" s="7">
        <v>17</v>
      </c>
      <c r="J22" s="7">
        <v>17.2</v>
      </c>
      <c r="K22" s="7">
        <v>17</v>
      </c>
      <c r="L22" s="7">
        <v>17.2</v>
      </c>
      <c r="M22" s="7">
        <v>16.8</v>
      </c>
      <c r="N22" s="7">
        <v>22.2</v>
      </c>
      <c r="O22" s="7">
        <v>23.8</v>
      </c>
    </row>
    <row r="23" spans="3:15" x14ac:dyDescent="0.2"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</row>
    <row r="24" spans="3:15" x14ac:dyDescent="0.2">
      <c r="C24" s="4" t="s">
        <v>50</v>
      </c>
    </row>
    <row r="25" spans="3:15" x14ac:dyDescent="0.2">
      <c r="C25" s="5" t="s">
        <v>51</v>
      </c>
      <c r="D25" s="2">
        <v>12.6</v>
      </c>
      <c r="E25" s="2">
        <v>12.8</v>
      </c>
      <c r="F25" s="2">
        <v>13.1</v>
      </c>
      <c r="G25" s="2">
        <v>11.9</v>
      </c>
      <c r="H25" s="2">
        <v>11.2</v>
      </c>
      <c r="I25" s="7">
        <v>11</v>
      </c>
      <c r="J25" s="7">
        <v>12.1</v>
      </c>
      <c r="K25" s="7">
        <v>12.5</v>
      </c>
      <c r="L25" s="7">
        <v>12.9</v>
      </c>
      <c r="M25" s="7">
        <v>12.9</v>
      </c>
      <c r="N25" s="69">
        <v>12.5</v>
      </c>
      <c r="O25" s="69">
        <v>6.6</v>
      </c>
    </row>
    <row r="26" spans="3:15" x14ac:dyDescent="0.2">
      <c r="C26" s="2" t="s">
        <v>52</v>
      </c>
      <c r="D26" s="7">
        <v>36.1</v>
      </c>
      <c r="E26" s="7">
        <v>37.299999999999997</v>
      </c>
      <c r="F26" s="7">
        <v>37.5</v>
      </c>
      <c r="G26" s="7">
        <v>35.700000000000003</v>
      </c>
      <c r="H26" s="7">
        <v>35.6</v>
      </c>
      <c r="I26" s="7">
        <v>35.799999999999997</v>
      </c>
      <c r="J26" s="7">
        <v>38.700000000000003</v>
      </c>
      <c r="K26" s="7">
        <v>42.7</v>
      </c>
      <c r="L26" s="7">
        <v>43.4</v>
      </c>
      <c r="M26" s="7">
        <v>43.1</v>
      </c>
      <c r="N26" s="69">
        <v>41.5</v>
      </c>
      <c r="O26" s="69">
        <v>24.2</v>
      </c>
    </row>
    <row r="27" spans="3:15" x14ac:dyDescent="0.2">
      <c r="C27" s="2" t="s">
        <v>53</v>
      </c>
      <c r="D27" s="7">
        <v>15.3</v>
      </c>
      <c r="E27" s="7">
        <v>15.7</v>
      </c>
      <c r="F27" s="7">
        <v>16</v>
      </c>
      <c r="G27" s="7">
        <v>15.3</v>
      </c>
      <c r="H27" s="7">
        <v>14.8</v>
      </c>
      <c r="I27" s="7">
        <v>15.1</v>
      </c>
      <c r="J27" s="7">
        <v>17</v>
      </c>
      <c r="K27" s="7">
        <v>18.7</v>
      </c>
      <c r="L27" s="7">
        <v>18.600000000000001</v>
      </c>
      <c r="M27" s="7">
        <v>19.5</v>
      </c>
      <c r="N27" s="69">
        <v>15</v>
      </c>
      <c r="O27" s="69">
        <v>12.1</v>
      </c>
    </row>
    <row r="28" spans="3:15" x14ac:dyDescent="0.2">
      <c r="C28" s="5" t="s">
        <v>54</v>
      </c>
      <c r="D28" s="7">
        <v>10</v>
      </c>
      <c r="E28" s="7">
        <v>10.5</v>
      </c>
      <c r="F28" s="7">
        <v>10.6</v>
      </c>
      <c r="G28" s="7">
        <v>10.199999999999999</v>
      </c>
      <c r="H28" s="7">
        <v>10</v>
      </c>
      <c r="I28" s="7">
        <v>10.14</v>
      </c>
      <c r="J28" s="7">
        <v>11.5</v>
      </c>
      <c r="K28" s="7">
        <v>12.3</v>
      </c>
      <c r="L28" s="7">
        <v>12.5</v>
      </c>
      <c r="M28" s="7">
        <v>12.5</v>
      </c>
      <c r="N28" s="69">
        <v>16.100000000000001</v>
      </c>
      <c r="O28" s="69">
        <v>12.6</v>
      </c>
    </row>
    <row r="29" spans="3:15" x14ac:dyDescent="0.2">
      <c r="C29" s="5" t="s">
        <v>55</v>
      </c>
      <c r="D29" s="7">
        <v>6.9</v>
      </c>
      <c r="E29" s="7">
        <v>7.1</v>
      </c>
      <c r="F29" s="7">
        <v>7.1</v>
      </c>
      <c r="G29" s="7">
        <v>5.9</v>
      </c>
      <c r="H29" s="7">
        <v>5.0999999999999996</v>
      </c>
      <c r="I29" s="7">
        <v>4.9000000000000004</v>
      </c>
      <c r="J29" s="7">
        <v>5.5</v>
      </c>
      <c r="K29" s="7">
        <v>6.1</v>
      </c>
      <c r="L29" s="7">
        <v>6</v>
      </c>
      <c r="M29" s="7">
        <v>6.6</v>
      </c>
      <c r="N29" s="69">
        <v>7.1</v>
      </c>
      <c r="O29" s="69">
        <v>4.5</v>
      </c>
    </row>
    <row r="30" spans="3:15" x14ac:dyDescent="0.2">
      <c r="C30" s="5" t="s">
        <v>56</v>
      </c>
      <c r="D30" s="7">
        <v>19.100000000000001</v>
      </c>
      <c r="E30" s="7">
        <v>16.600000000000001</v>
      </c>
      <c r="F30" s="7">
        <v>15.7</v>
      </c>
      <c r="G30" s="7">
        <v>21</v>
      </c>
      <c r="H30" s="7">
        <v>23.3</v>
      </c>
      <c r="I30" s="7">
        <v>23.1</v>
      </c>
      <c r="J30" s="7">
        <v>15.2</v>
      </c>
      <c r="K30" s="7">
        <v>7.7</v>
      </c>
      <c r="L30" s="7">
        <v>6.6</v>
      </c>
      <c r="M30" s="7">
        <v>5.4</v>
      </c>
      <c r="N30" s="69">
        <v>7.8</v>
      </c>
      <c r="O30" s="69">
        <v>40.1</v>
      </c>
    </row>
    <row r="31" spans="3:15" x14ac:dyDescent="0.2"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</row>
    <row r="32" spans="3:15" x14ac:dyDescent="0.2"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</row>
    <row r="33" spans="3:15" x14ac:dyDescent="0.2">
      <c r="C33" s="4" t="s">
        <v>57</v>
      </c>
    </row>
    <row r="34" spans="3:15" x14ac:dyDescent="0.2">
      <c r="C34" s="2" t="s">
        <v>58</v>
      </c>
      <c r="D34" s="7">
        <v>69.900000000000006</v>
      </c>
      <c r="E34" s="7">
        <v>71.8</v>
      </c>
      <c r="F34" s="7">
        <v>72</v>
      </c>
      <c r="G34" s="7">
        <v>70.3</v>
      </c>
      <c r="H34" s="7">
        <v>69.099999999999994</v>
      </c>
      <c r="I34" s="7">
        <v>69.900000000000006</v>
      </c>
      <c r="J34" s="7">
        <v>73.2</v>
      </c>
      <c r="K34" s="7">
        <v>76.8</v>
      </c>
      <c r="L34" s="7">
        <v>78.7</v>
      </c>
      <c r="M34" s="7">
        <v>79.400000000000006</v>
      </c>
      <c r="N34" s="69">
        <v>78.400000000000006</v>
      </c>
      <c r="O34" s="69">
        <v>32.4</v>
      </c>
    </row>
    <row r="35" spans="3:15" x14ac:dyDescent="0.2">
      <c r="C35" s="2" t="s">
        <v>59</v>
      </c>
      <c r="D35" s="7">
        <v>5.8</v>
      </c>
      <c r="E35" s="7">
        <v>5.9</v>
      </c>
      <c r="F35" s="7">
        <v>6.4</v>
      </c>
      <c r="G35" s="7">
        <v>5.7</v>
      </c>
      <c r="H35" s="7">
        <v>5</v>
      </c>
      <c r="I35" s="7">
        <v>4.8</v>
      </c>
      <c r="J35" s="7">
        <v>5.5</v>
      </c>
      <c r="K35" s="7">
        <v>5.6</v>
      </c>
      <c r="L35" s="7">
        <v>5.9</v>
      </c>
      <c r="M35" s="7">
        <v>6.2</v>
      </c>
      <c r="N35" s="69">
        <v>6.5</v>
      </c>
      <c r="O35" s="69">
        <v>3.5</v>
      </c>
    </row>
    <row r="36" spans="3:15" x14ac:dyDescent="0.2">
      <c r="C36" s="5" t="s">
        <v>60</v>
      </c>
      <c r="D36" s="7">
        <v>8.1</v>
      </c>
      <c r="E36" s="7">
        <v>7.8</v>
      </c>
      <c r="F36" s="7">
        <v>7.4</v>
      </c>
      <c r="G36" s="7">
        <v>6.2</v>
      </c>
      <c r="H36" s="7">
        <v>5.0999999999999996</v>
      </c>
      <c r="I36" s="7">
        <v>5.3</v>
      </c>
      <c r="J36" s="7">
        <v>5.6</v>
      </c>
      <c r="K36" s="7">
        <v>6</v>
      </c>
      <c r="L36" s="7">
        <v>5.6</v>
      </c>
      <c r="M36" s="7">
        <v>5.7</v>
      </c>
      <c r="N36" s="69">
        <v>4.7</v>
      </c>
      <c r="O36" s="69">
        <v>21.1</v>
      </c>
    </row>
    <row r="37" spans="3:15" x14ac:dyDescent="0.2">
      <c r="C37" s="5" t="s">
        <v>61</v>
      </c>
      <c r="D37" s="7">
        <v>5.7</v>
      </c>
      <c r="E37" s="7">
        <v>5.7</v>
      </c>
      <c r="F37" s="7">
        <v>5.6</v>
      </c>
      <c r="G37" s="7">
        <v>4.5999999999999996</v>
      </c>
      <c r="H37" s="7">
        <v>3.8</v>
      </c>
      <c r="I37" s="7">
        <v>3.6</v>
      </c>
      <c r="J37" s="7">
        <v>4</v>
      </c>
      <c r="K37" s="7">
        <v>4.3</v>
      </c>
      <c r="L37" s="7">
        <v>3.6</v>
      </c>
      <c r="M37" s="7">
        <v>3.5</v>
      </c>
      <c r="N37" s="69">
        <v>2.4</v>
      </c>
      <c r="O37" s="69">
        <v>1</v>
      </c>
    </row>
    <row r="38" spans="3:15" x14ac:dyDescent="0.2">
      <c r="C38" s="2" t="s">
        <v>56</v>
      </c>
      <c r="D38" s="7">
        <v>3.4</v>
      </c>
      <c r="E38" s="7">
        <v>3.5</v>
      </c>
      <c r="F38" s="7">
        <v>3.8</v>
      </c>
      <c r="G38" s="7">
        <v>5.5</v>
      </c>
      <c r="H38" s="7">
        <v>8.4</v>
      </c>
      <c r="I38" s="7">
        <v>7.8</v>
      </c>
      <c r="J38" s="7">
        <v>6.4</v>
      </c>
      <c r="K38" s="7">
        <v>4</v>
      </c>
      <c r="L38" s="7">
        <v>4</v>
      </c>
      <c r="M38" s="7">
        <v>3.6</v>
      </c>
      <c r="N38" s="69">
        <v>7</v>
      </c>
      <c r="O38" s="69">
        <v>38.700000000000003</v>
      </c>
    </row>
    <row r="39" spans="3:15" x14ac:dyDescent="0.2">
      <c r="C39" s="2" t="s">
        <v>49</v>
      </c>
      <c r="D39" s="7">
        <v>7.1</v>
      </c>
      <c r="E39" s="7">
        <v>5.3</v>
      </c>
      <c r="F39" s="7">
        <v>4.8</v>
      </c>
      <c r="G39" s="7">
        <v>7.7</v>
      </c>
      <c r="H39" s="7">
        <v>8.6</v>
      </c>
      <c r="I39" s="7">
        <v>8.6</v>
      </c>
      <c r="J39" s="7">
        <v>5.3</v>
      </c>
      <c r="K39" s="7">
        <v>3.3000000000000114</v>
      </c>
      <c r="L39" s="7">
        <v>2.2000000000000028</v>
      </c>
      <c r="M39" s="7">
        <v>1.6</v>
      </c>
      <c r="N39" s="69">
        <v>0.99</v>
      </c>
      <c r="O39" s="69">
        <v>3.3</v>
      </c>
    </row>
    <row r="40" spans="3:15" ht="14.25" x14ac:dyDescent="0.2"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</row>
    <row r="41" spans="3:15" ht="14.25" x14ac:dyDescent="0.2">
      <c r="C41" s="4" t="s">
        <v>62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3:15" x14ac:dyDescent="0.2">
      <c r="C42" s="2" t="s">
        <v>63</v>
      </c>
      <c r="D42" s="72">
        <v>41.4</v>
      </c>
      <c r="E42" s="72">
        <v>44.9</v>
      </c>
      <c r="F42" s="72">
        <v>45.3</v>
      </c>
      <c r="G42" s="72">
        <v>43.8</v>
      </c>
      <c r="H42" s="72">
        <v>43.9</v>
      </c>
      <c r="I42" s="72">
        <v>42.4</v>
      </c>
      <c r="J42" s="72">
        <v>45</v>
      </c>
      <c r="K42" s="72">
        <v>48.8</v>
      </c>
      <c r="L42" s="72">
        <v>51.4</v>
      </c>
      <c r="M42" s="72">
        <v>53.1</v>
      </c>
      <c r="N42" s="72">
        <v>48.8</v>
      </c>
      <c r="O42" s="72">
        <v>18.5</v>
      </c>
    </row>
    <row r="43" spans="3:15" x14ac:dyDescent="0.2">
      <c r="C43" s="2" t="s">
        <v>64</v>
      </c>
      <c r="D43" s="72">
        <v>12.8</v>
      </c>
      <c r="E43" s="72">
        <v>13.4</v>
      </c>
      <c r="F43" s="72">
        <v>14.3</v>
      </c>
      <c r="G43" s="72">
        <v>13.4</v>
      </c>
      <c r="H43" s="72">
        <v>12.5</v>
      </c>
      <c r="I43" s="72">
        <v>12.8</v>
      </c>
      <c r="J43" s="72">
        <v>14</v>
      </c>
      <c r="K43" s="72">
        <v>14.8</v>
      </c>
      <c r="L43" s="72">
        <v>14.5</v>
      </c>
      <c r="M43" s="72">
        <v>14.2</v>
      </c>
      <c r="N43" s="72">
        <v>13.9</v>
      </c>
      <c r="O43" s="72">
        <v>7.4</v>
      </c>
    </row>
    <row r="44" spans="3:15" x14ac:dyDescent="0.2">
      <c r="C44" s="2" t="s">
        <v>65</v>
      </c>
      <c r="D44" s="72">
        <v>28.9</v>
      </c>
      <c r="E44" s="72">
        <v>28.8</v>
      </c>
      <c r="F44" s="72">
        <v>29.5</v>
      </c>
      <c r="G44" s="72">
        <v>27.7</v>
      </c>
      <c r="H44" s="72">
        <v>25.8</v>
      </c>
      <c r="I44" s="72">
        <v>27.1</v>
      </c>
      <c r="J44" s="72">
        <v>30</v>
      </c>
      <c r="K44" s="72">
        <v>30.6</v>
      </c>
      <c r="L44" s="72">
        <v>28.9</v>
      </c>
      <c r="M44" s="72">
        <v>28.2</v>
      </c>
      <c r="N44" s="72">
        <v>29.6</v>
      </c>
      <c r="O44" s="72">
        <v>35.299999999999997</v>
      </c>
    </row>
    <row r="45" spans="3:15" x14ac:dyDescent="0.2">
      <c r="C45" s="2" t="s">
        <v>49</v>
      </c>
      <c r="D45" s="72">
        <v>16.899999999999999</v>
      </c>
      <c r="E45" s="72">
        <v>12.9</v>
      </c>
      <c r="F45" s="72">
        <v>10.9</v>
      </c>
      <c r="G45" s="72">
        <v>15.1</v>
      </c>
      <c r="H45" s="72">
        <v>17.8</v>
      </c>
      <c r="I45" s="72">
        <v>17.7</v>
      </c>
      <c r="J45" s="72">
        <v>11</v>
      </c>
      <c r="K45" s="72">
        <v>5.8</v>
      </c>
      <c r="L45" s="72">
        <v>5.2</v>
      </c>
      <c r="M45" s="72">
        <v>4.5</v>
      </c>
      <c r="N45" s="72">
        <v>7.7</v>
      </c>
      <c r="O45" s="72">
        <v>38.799999999999997</v>
      </c>
    </row>
    <row r="46" spans="3:15" x14ac:dyDescent="0.2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3:15" x14ac:dyDescent="0.2">
      <c r="C47" s="4" t="s">
        <v>66</v>
      </c>
    </row>
    <row r="48" spans="3:15" x14ac:dyDescent="0.2">
      <c r="C48" s="5" t="s">
        <v>67</v>
      </c>
      <c r="D48" s="7">
        <v>49.7</v>
      </c>
      <c r="E48" s="7">
        <v>50.1</v>
      </c>
      <c r="F48" s="7">
        <v>49.1</v>
      </c>
      <c r="G48" s="7">
        <v>46.5</v>
      </c>
      <c r="H48" s="7">
        <v>44.2</v>
      </c>
      <c r="I48" s="7">
        <v>44.1</v>
      </c>
      <c r="J48" s="7">
        <v>46.7</v>
      </c>
      <c r="K48" s="7">
        <v>42.9</v>
      </c>
      <c r="L48" s="7">
        <v>48</v>
      </c>
      <c r="M48" s="7">
        <v>49.1</v>
      </c>
      <c r="N48" s="7">
        <v>45.3</v>
      </c>
      <c r="O48" s="7">
        <v>11.3</v>
      </c>
    </row>
    <row r="49" spans="2:15" x14ac:dyDescent="0.2">
      <c r="C49" s="5" t="s">
        <v>68</v>
      </c>
      <c r="D49" s="7">
        <v>23.6</v>
      </c>
      <c r="E49" s="7">
        <v>24.5</v>
      </c>
      <c r="F49" s="7">
        <v>26.7</v>
      </c>
      <c r="G49" s="7">
        <v>28.2</v>
      </c>
      <c r="H49" s="7">
        <v>30.9</v>
      </c>
      <c r="I49" s="7">
        <v>30</v>
      </c>
      <c r="J49" s="7">
        <v>28.8</v>
      </c>
      <c r="K49" s="7">
        <v>28.3</v>
      </c>
      <c r="L49" s="7">
        <v>29.7</v>
      </c>
      <c r="M49" s="7">
        <v>31.1</v>
      </c>
      <c r="N49" s="7">
        <v>32.200000000000003</v>
      </c>
      <c r="O49" s="7">
        <v>20.6</v>
      </c>
    </row>
    <row r="50" spans="2:15" x14ac:dyDescent="0.2">
      <c r="C50" s="2" t="s">
        <v>69</v>
      </c>
      <c r="D50" s="7">
        <v>15.8</v>
      </c>
      <c r="E50" s="7">
        <v>15.7</v>
      </c>
      <c r="F50" s="7">
        <v>15</v>
      </c>
      <c r="G50" s="7">
        <v>13.4</v>
      </c>
      <c r="H50" s="7">
        <v>13.1</v>
      </c>
      <c r="I50" s="7">
        <v>13.4</v>
      </c>
      <c r="J50" s="7">
        <v>14.5</v>
      </c>
      <c r="K50" s="7">
        <v>15</v>
      </c>
      <c r="L50" s="7">
        <v>14.7</v>
      </c>
      <c r="M50" s="7">
        <v>15.2</v>
      </c>
      <c r="N50" s="7">
        <v>14.4</v>
      </c>
      <c r="O50" s="7">
        <v>28.7</v>
      </c>
    </row>
    <row r="51" spans="2:15" x14ac:dyDescent="0.2">
      <c r="C51" s="5" t="s">
        <v>70</v>
      </c>
      <c r="D51" s="7">
        <v>4.7</v>
      </c>
      <c r="E51" s="7">
        <v>4.7</v>
      </c>
      <c r="F51" s="7">
        <v>4</v>
      </c>
      <c r="G51" s="7">
        <v>3.8</v>
      </c>
      <c r="H51" s="7">
        <v>3.9</v>
      </c>
      <c r="I51" s="7">
        <v>3.5</v>
      </c>
      <c r="J51" s="7">
        <v>2.4</v>
      </c>
      <c r="K51" s="7">
        <v>1.5</v>
      </c>
      <c r="L51" s="7">
        <v>1.2</v>
      </c>
      <c r="M51" s="7">
        <v>1.2</v>
      </c>
      <c r="N51" s="7">
        <v>1</v>
      </c>
      <c r="O51" s="7">
        <v>0.7</v>
      </c>
    </row>
    <row r="52" spans="2:15" x14ac:dyDescent="0.2">
      <c r="C52" s="5" t="s">
        <v>49</v>
      </c>
      <c r="D52" s="7">
        <v>6.2</v>
      </c>
      <c r="E52" s="7">
        <v>5</v>
      </c>
      <c r="F52" s="7">
        <v>5.2</v>
      </c>
      <c r="G52" s="7">
        <v>8.1</v>
      </c>
      <c r="H52" s="7">
        <v>7.9</v>
      </c>
      <c r="I52" s="7">
        <v>9</v>
      </c>
      <c r="J52" s="7">
        <v>7.6</v>
      </c>
      <c r="K52" s="7">
        <v>12.3</v>
      </c>
      <c r="L52" s="7">
        <v>6.4</v>
      </c>
      <c r="M52" s="7">
        <v>3.4</v>
      </c>
      <c r="N52" s="7">
        <v>7.1</v>
      </c>
      <c r="O52" s="7">
        <v>38.700000000000003</v>
      </c>
    </row>
    <row r="53" spans="2:15" x14ac:dyDescent="0.2">
      <c r="B53" s="1"/>
      <c r="C53" s="74"/>
      <c r="D53" s="98"/>
      <c r="E53" s="98"/>
      <c r="F53" s="98"/>
      <c r="G53" s="98"/>
      <c r="H53" s="74"/>
      <c r="I53" s="74"/>
      <c r="J53" s="74"/>
      <c r="K53" s="74"/>
      <c r="L53" s="74"/>
      <c r="M53" s="74"/>
      <c r="N53" s="74"/>
      <c r="O53" s="74"/>
    </row>
    <row r="54" spans="2:15" x14ac:dyDescent="0.2">
      <c r="D54" s="7"/>
      <c r="E54" s="7"/>
      <c r="F54" s="7"/>
    </row>
    <row r="55" spans="2:15" x14ac:dyDescent="0.2">
      <c r="C55" s="91"/>
    </row>
    <row r="56" spans="2:15" x14ac:dyDescent="0.2">
      <c r="C56" s="12" t="s">
        <v>100</v>
      </c>
    </row>
    <row r="57" spans="2:15" x14ac:dyDescent="0.2">
      <c r="C57" s="12"/>
    </row>
    <row r="58" spans="2:15" x14ac:dyDescent="0.2">
      <c r="C58" s="26"/>
      <c r="N58" s="25"/>
    </row>
    <row r="59" spans="2:15" x14ac:dyDescent="0.2">
      <c r="C59" s="26"/>
      <c r="D59" s="7"/>
      <c r="E59" s="7"/>
      <c r="F59" s="7"/>
      <c r="G59" s="7"/>
      <c r="H59" s="7"/>
      <c r="I59" s="7"/>
      <c r="N59" s="25"/>
    </row>
    <row r="60" spans="2:15" x14ac:dyDescent="0.2">
      <c r="C60" s="26"/>
      <c r="D60" s="7"/>
      <c r="E60" s="7"/>
      <c r="F60" s="7"/>
      <c r="G60" s="7"/>
      <c r="H60" s="7"/>
      <c r="I60" s="7"/>
      <c r="N60" s="25"/>
    </row>
    <row r="61" spans="2:15" ht="14.25" x14ac:dyDescent="0.2">
      <c r="B61" s="22"/>
      <c r="D61" s="7"/>
      <c r="E61" s="7"/>
      <c r="F61" s="7"/>
      <c r="G61" s="7"/>
      <c r="H61" s="7"/>
      <c r="I61" s="7"/>
      <c r="N61" s="25"/>
    </row>
    <row r="62" spans="2:15" ht="14.25" x14ac:dyDescent="0.2">
      <c r="B62" s="22"/>
      <c r="D62" s="7"/>
      <c r="E62" s="7"/>
      <c r="F62" s="7"/>
      <c r="G62" s="7"/>
      <c r="H62" s="7"/>
      <c r="I62" s="7"/>
    </row>
    <row r="63" spans="2:15" ht="14.25" x14ac:dyDescent="0.2">
      <c r="B63" s="22"/>
      <c r="D63" s="7"/>
      <c r="E63" s="7"/>
      <c r="F63" s="7"/>
      <c r="G63" s="7"/>
      <c r="H63" s="7"/>
      <c r="I63" s="7"/>
    </row>
    <row r="64" spans="2:15" ht="14.25" customHeight="1" x14ac:dyDescent="0.2">
      <c r="C64" s="15"/>
      <c r="D64" s="7"/>
      <c r="E64" s="7"/>
      <c r="F64" s="7"/>
      <c r="G64" s="7"/>
      <c r="H64" s="7"/>
      <c r="I64" s="7"/>
    </row>
    <row r="65" spans="2:14" ht="20.25" customHeight="1" x14ac:dyDescent="0.2">
      <c r="B65" s="15"/>
      <c r="C65" s="15"/>
    </row>
    <row r="66" spans="2:14" x14ac:dyDescent="0.2">
      <c r="B66" s="127"/>
      <c r="C66" s="127"/>
      <c r="L66" s="25"/>
      <c r="M66" s="25"/>
      <c r="N66" s="25"/>
    </row>
    <row r="67" spans="2:14" x14ac:dyDescent="0.2">
      <c r="L67" s="25"/>
      <c r="M67" s="25"/>
      <c r="N67" s="25"/>
    </row>
    <row r="68" spans="2:14" x14ac:dyDescent="0.2">
      <c r="L68" s="25"/>
      <c r="M68" s="25"/>
      <c r="N68" s="25"/>
    </row>
    <row r="69" spans="2:14" x14ac:dyDescent="0.2">
      <c r="L69" s="25"/>
      <c r="M69" s="25"/>
      <c r="N69" s="25"/>
    </row>
    <row r="70" spans="2:14" x14ac:dyDescent="0.2">
      <c r="L70" s="25"/>
      <c r="M70" s="25"/>
      <c r="N70" s="25"/>
    </row>
    <row r="72" spans="2:14" x14ac:dyDescent="0.2">
      <c r="L72" s="24"/>
      <c r="M72" s="24"/>
      <c r="N72" s="24"/>
    </row>
    <row r="73" spans="2:14" x14ac:dyDescent="0.2">
      <c r="L73" s="24"/>
      <c r="M73" s="24"/>
      <c r="N73" s="24"/>
    </row>
    <row r="74" spans="2:14" x14ac:dyDescent="0.2">
      <c r="L74" s="24"/>
      <c r="M74" s="24"/>
      <c r="N74" s="24"/>
    </row>
    <row r="75" spans="2:14" x14ac:dyDescent="0.2">
      <c r="L75" s="24"/>
      <c r="M75" s="24"/>
      <c r="N75" s="24"/>
    </row>
    <row r="82" spans="12:14" x14ac:dyDescent="0.2">
      <c r="L82" s="25"/>
      <c r="M82" s="25"/>
      <c r="N82" s="25"/>
    </row>
    <row r="83" spans="12:14" x14ac:dyDescent="0.2">
      <c r="L83" s="25"/>
      <c r="M83" s="25"/>
      <c r="N83" s="25"/>
    </row>
    <row r="84" spans="12:14" x14ac:dyDescent="0.2">
      <c r="L84" s="25"/>
      <c r="M84" s="25"/>
      <c r="N84" s="25"/>
    </row>
    <row r="85" spans="12:14" x14ac:dyDescent="0.2">
      <c r="L85" s="25"/>
      <c r="M85" s="25"/>
      <c r="N85" s="25"/>
    </row>
    <row r="86" spans="12:14" x14ac:dyDescent="0.2">
      <c r="L86" s="25"/>
      <c r="M86" s="25"/>
      <c r="N86" s="25"/>
    </row>
    <row r="87" spans="12:14" x14ac:dyDescent="0.2">
      <c r="L87" s="25"/>
      <c r="M87" s="25"/>
      <c r="N87" s="25"/>
    </row>
    <row r="90" spans="12:14" x14ac:dyDescent="0.2">
      <c r="L90" s="24"/>
      <c r="M90" s="24"/>
      <c r="N90" s="24"/>
    </row>
    <row r="91" spans="12:14" x14ac:dyDescent="0.2">
      <c r="L91" s="24"/>
      <c r="M91" s="24"/>
      <c r="N91" s="24"/>
    </row>
    <row r="92" spans="12:14" x14ac:dyDescent="0.2">
      <c r="L92" s="24"/>
      <c r="M92" s="24"/>
      <c r="N92" s="24"/>
    </row>
    <row r="93" spans="12:14" x14ac:dyDescent="0.2">
      <c r="L93" s="24"/>
      <c r="M93" s="24"/>
      <c r="N93" s="24"/>
    </row>
    <row r="94" spans="12:14" x14ac:dyDescent="0.2">
      <c r="L94" s="24"/>
      <c r="M94" s="24"/>
      <c r="N94" s="24"/>
    </row>
  </sheetData>
  <mergeCells count="2">
    <mergeCell ref="B66:C66"/>
    <mergeCell ref="C8:O8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121" r:id="rId4">
          <objectPr defaultSize="0" autoPict="0" r:id="rId5">
            <anchor moveWithCells="1" sizeWithCells="1">
              <from>
                <xdr:col>0</xdr:col>
                <xdr:colOff>104775</xdr:colOff>
                <xdr:row>0</xdr:row>
                <xdr:rowOff>104775</xdr:rowOff>
              </from>
              <to>
                <xdr:col>2</xdr:col>
                <xdr:colOff>38100</xdr:colOff>
                <xdr:row>3</xdr:row>
                <xdr:rowOff>66675</xdr:rowOff>
              </to>
            </anchor>
          </objectPr>
        </oleObject>
      </mc:Choice>
      <mc:Fallback>
        <oleObject progId="MSPhotoEd.3" shapeId="5121" r:id="rId4"/>
      </mc:Fallback>
    </mc:AlternateContent>
    <mc:AlternateContent xmlns:mc="http://schemas.openxmlformats.org/markup-compatibility/2006">
      <mc:Choice Requires="x14">
        <oleObject progId="MSPhotoEd.3" shapeId="5122" r:id="rId6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66675</xdr:rowOff>
              </from>
              <to>
                <xdr:col>1</xdr:col>
                <xdr:colOff>485775</xdr:colOff>
                <xdr:row>3</xdr:row>
                <xdr:rowOff>152400</xdr:rowOff>
              </to>
            </anchor>
          </objectPr>
        </oleObject>
      </mc:Choice>
      <mc:Fallback>
        <oleObject progId="MSPhotoEd.3" shapeId="5122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B3:H58"/>
  <sheetViews>
    <sheetView showOutlineSymbols="0" zoomScaleNormal="100" zoomScaleSheetLayoutView="100" workbookViewId="0">
      <selection activeCell="D8" sqref="D8:G8"/>
    </sheetView>
  </sheetViews>
  <sheetFormatPr defaultColWidth="9.140625" defaultRowHeight="12.75" x14ac:dyDescent="0.2"/>
  <cols>
    <col min="1" max="1" width="9.140625" style="2" customWidth="1"/>
    <col min="2" max="2" width="8.85546875" style="2" customWidth="1"/>
    <col min="3" max="3" width="9.42578125" style="2" customWidth="1"/>
    <col min="4" max="4" width="14.85546875" style="2" customWidth="1"/>
    <col min="5" max="5" width="12.42578125" style="2" customWidth="1"/>
    <col min="6" max="6" width="13.85546875" style="2" customWidth="1"/>
    <col min="7" max="7" width="15" style="1" customWidth="1"/>
    <col min="8" max="8" width="17.42578125" style="2" customWidth="1"/>
    <col min="9" max="16384" width="9.140625" style="2"/>
  </cols>
  <sheetData>
    <row r="3" spans="3:8" x14ac:dyDescent="0.2">
      <c r="H3" s="4" t="s">
        <v>109</v>
      </c>
    </row>
    <row r="4" spans="3:8" ht="15" x14ac:dyDescent="0.25">
      <c r="E4" s="5"/>
      <c r="F4" s="5"/>
      <c r="G4" s="27"/>
    </row>
    <row r="8" spans="3:8" ht="15.75" customHeight="1" x14ac:dyDescent="0.25">
      <c r="C8" s="28">
        <v>15.05</v>
      </c>
      <c r="D8" s="133" t="s">
        <v>104</v>
      </c>
      <c r="E8" s="133"/>
      <c r="F8" s="133"/>
      <c r="G8" s="133"/>
      <c r="H8" s="9"/>
    </row>
    <row r="9" spans="3:8" x14ac:dyDescent="0.2">
      <c r="C9" s="29"/>
      <c r="D9" s="30"/>
      <c r="E9" s="30"/>
      <c r="F9" s="30"/>
      <c r="G9" s="30"/>
      <c r="H9" s="1"/>
    </row>
    <row r="10" spans="3:8" x14ac:dyDescent="0.2">
      <c r="C10" s="29"/>
      <c r="D10" s="99"/>
      <c r="E10" s="31"/>
      <c r="F10" s="31"/>
      <c r="G10" s="100"/>
      <c r="H10" s="1"/>
    </row>
    <row r="11" spans="3:8" ht="13.35" customHeight="1" x14ac:dyDescent="0.2">
      <c r="C11" s="29"/>
      <c r="D11" s="101"/>
      <c r="E11" s="102"/>
      <c r="F11" s="102"/>
      <c r="G11" s="103" t="s">
        <v>71</v>
      </c>
      <c r="H11" s="1"/>
    </row>
    <row r="12" spans="3:8" ht="24" customHeight="1" x14ac:dyDescent="0.2">
      <c r="C12" s="101"/>
      <c r="D12" s="104" t="s">
        <v>3</v>
      </c>
      <c r="E12" s="104" t="s">
        <v>89</v>
      </c>
      <c r="F12" s="104" t="s">
        <v>90</v>
      </c>
      <c r="G12" s="105" t="s">
        <v>26</v>
      </c>
      <c r="H12" s="32"/>
    </row>
    <row r="13" spans="3:8" x14ac:dyDescent="0.2">
      <c r="C13" s="33"/>
      <c r="D13" s="33"/>
      <c r="E13" s="78"/>
      <c r="F13" s="78"/>
      <c r="G13" s="78"/>
      <c r="H13" s="1"/>
    </row>
    <row r="14" spans="3:8" ht="12.75" hidden="1" customHeight="1" x14ac:dyDescent="0.2">
      <c r="C14" s="33"/>
      <c r="D14" s="106">
        <v>1991</v>
      </c>
      <c r="E14" s="107">
        <v>1599</v>
      </c>
      <c r="F14" s="107" t="e">
        <f>#REF!*1+#REF!*2+#REF!*3+#REF!*4</f>
        <v>#REF!</v>
      </c>
      <c r="G14" s="107" t="e">
        <f>#REF!+#REF!</f>
        <v>#REF!</v>
      </c>
      <c r="H14" s="1"/>
    </row>
    <row r="15" spans="3:8" x14ac:dyDescent="0.2">
      <c r="C15" s="108"/>
      <c r="D15" s="109">
        <v>2000</v>
      </c>
      <c r="E15" s="110">
        <f>150+2634+63</f>
        <v>2847</v>
      </c>
      <c r="F15" s="110">
        <f>59+53+2101+272+50+17</f>
        <v>2552</v>
      </c>
      <c r="G15" s="111">
        <f>SUM(E15:F15)</f>
        <v>5399</v>
      </c>
      <c r="H15" s="31"/>
    </row>
    <row r="16" spans="3:8" x14ac:dyDescent="0.2">
      <c r="C16" s="108"/>
      <c r="D16" s="109">
        <v>2001</v>
      </c>
      <c r="E16" s="110">
        <f>145+2592+75</f>
        <v>2812</v>
      </c>
      <c r="F16" s="110">
        <f>61+58+2102+311+39+26</f>
        <v>2597</v>
      </c>
      <c r="G16" s="111">
        <f t="shared" ref="G16:G26" si="0">SUM(E16:F16)</f>
        <v>5409</v>
      </c>
      <c r="H16" s="34"/>
    </row>
    <row r="17" spans="2:8" x14ac:dyDescent="0.2">
      <c r="C17" s="108"/>
      <c r="D17" s="109">
        <v>2002</v>
      </c>
      <c r="E17" s="110">
        <f>144+2493+75</f>
        <v>2712</v>
      </c>
      <c r="F17" s="110">
        <f>67+56+2084+285+57+12</f>
        <v>2561</v>
      </c>
      <c r="G17" s="111">
        <f t="shared" si="0"/>
        <v>5273</v>
      </c>
      <c r="H17" s="34"/>
    </row>
    <row r="18" spans="2:8" x14ac:dyDescent="0.2">
      <c r="C18" s="108"/>
      <c r="D18" s="109">
        <v>2003</v>
      </c>
      <c r="E18" s="110">
        <f>132+2599+75</f>
        <v>2806</v>
      </c>
      <c r="F18" s="110">
        <f>118+62+2135+346+58+12</f>
        <v>2731</v>
      </c>
      <c r="G18" s="111">
        <f t="shared" si="0"/>
        <v>5537</v>
      </c>
      <c r="H18" s="34"/>
    </row>
    <row r="19" spans="2:8" x14ac:dyDescent="0.2">
      <c r="C19" s="108"/>
      <c r="D19" s="109">
        <v>2004</v>
      </c>
      <c r="E19" s="112" t="s">
        <v>72</v>
      </c>
      <c r="F19" s="112" t="s">
        <v>72</v>
      </c>
      <c r="G19" s="112" t="s">
        <v>72</v>
      </c>
      <c r="H19" s="34"/>
    </row>
    <row r="20" spans="2:8" x14ac:dyDescent="0.2">
      <c r="C20" s="108"/>
      <c r="D20" s="109">
        <v>2005</v>
      </c>
      <c r="E20" s="112" t="s">
        <v>72</v>
      </c>
      <c r="F20" s="112" t="s">
        <v>72</v>
      </c>
      <c r="G20" s="112" t="s">
        <v>72</v>
      </c>
      <c r="H20" s="34"/>
    </row>
    <row r="21" spans="2:8" x14ac:dyDescent="0.2">
      <c r="C21" s="108"/>
      <c r="D21" s="109">
        <v>2006</v>
      </c>
      <c r="E21" s="110">
        <f>63+2122+76</f>
        <v>2261</v>
      </c>
      <c r="F21" s="110">
        <f>64+61+1767+289+25+16</f>
        <v>2222</v>
      </c>
      <c r="G21" s="111">
        <f t="shared" si="0"/>
        <v>4483</v>
      </c>
      <c r="H21" s="34"/>
    </row>
    <row r="22" spans="2:8" x14ac:dyDescent="0.2">
      <c r="C22" s="108"/>
      <c r="D22" s="109">
        <v>2007</v>
      </c>
      <c r="E22" s="113">
        <f>62+1783+11</f>
        <v>1856</v>
      </c>
      <c r="F22" s="113">
        <f>67+62+1478+307+38+15</f>
        <v>1967</v>
      </c>
      <c r="G22" s="111">
        <f t="shared" si="0"/>
        <v>3823</v>
      </c>
      <c r="H22" s="34"/>
    </row>
    <row r="23" spans="2:8" x14ac:dyDescent="0.2">
      <c r="C23" s="108"/>
      <c r="D23" s="109">
        <v>2008</v>
      </c>
      <c r="E23" s="113">
        <f>59+1883+76</f>
        <v>2018</v>
      </c>
      <c r="F23" s="113">
        <f>60+63+1955+366+42+21</f>
        <v>2507</v>
      </c>
      <c r="G23" s="111">
        <f t="shared" si="0"/>
        <v>4525</v>
      </c>
      <c r="H23" s="34"/>
    </row>
    <row r="24" spans="2:8" x14ac:dyDescent="0.2">
      <c r="C24" s="108"/>
      <c r="D24" s="109">
        <v>2009</v>
      </c>
      <c r="E24" s="113">
        <f>85+1870+76</f>
        <v>2031</v>
      </c>
      <c r="F24" s="113">
        <f>48+68+2001+355+45+15</f>
        <v>2532</v>
      </c>
      <c r="G24" s="111">
        <f t="shared" si="0"/>
        <v>4563</v>
      </c>
      <c r="H24" s="34"/>
    </row>
    <row r="25" spans="2:8" x14ac:dyDescent="0.2">
      <c r="C25" s="33"/>
      <c r="D25" s="109">
        <v>2010</v>
      </c>
      <c r="E25" s="113">
        <f>85+1870+76</f>
        <v>2031</v>
      </c>
      <c r="F25" s="113">
        <f>52+70+2019+390+45+16</f>
        <v>2592</v>
      </c>
      <c r="G25" s="111">
        <f t="shared" si="0"/>
        <v>4623</v>
      </c>
      <c r="H25" s="1"/>
    </row>
    <row r="26" spans="2:8" x14ac:dyDescent="0.2">
      <c r="C26" s="33"/>
      <c r="D26" s="109">
        <v>2011</v>
      </c>
      <c r="E26" s="113">
        <f>85+1968+77</f>
        <v>2130</v>
      </c>
      <c r="F26" s="113">
        <f>60+70+2209+444+40+21</f>
        <v>2844</v>
      </c>
      <c r="G26" s="111">
        <f t="shared" si="0"/>
        <v>4974</v>
      </c>
      <c r="H26" s="1"/>
    </row>
    <row r="27" spans="2:8" x14ac:dyDescent="0.2">
      <c r="C27" s="33"/>
      <c r="D27" s="109">
        <v>2012</v>
      </c>
      <c r="E27" s="113">
        <f>85+1968+87</f>
        <v>2140</v>
      </c>
      <c r="F27" s="113">
        <f>72+95+2180+382+32+22</f>
        <v>2783</v>
      </c>
      <c r="G27" s="111">
        <f>SUM(E27:F27)</f>
        <v>4923</v>
      </c>
      <c r="H27" s="1"/>
    </row>
    <row r="28" spans="2:8" x14ac:dyDescent="0.2">
      <c r="C28" s="33"/>
      <c r="D28" s="109">
        <v>2013</v>
      </c>
      <c r="E28" s="113">
        <v>2140</v>
      </c>
      <c r="F28" s="113">
        <v>2819</v>
      </c>
      <c r="G28" s="111">
        <f>SUM(E28:F28)</f>
        <v>4959</v>
      </c>
      <c r="H28" s="1"/>
    </row>
    <row r="29" spans="2:8" x14ac:dyDescent="0.2">
      <c r="C29" s="33"/>
      <c r="D29" s="109" t="s">
        <v>73</v>
      </c>
      <c r="E29" s="114">
        <v>2143</v>
      </c>
      <c r="F29" s="114">
        <f>2485+628+8</f>
        <v>3121</v>
      </c>
      <c r="G29" s="111">
        <f>SUM(E29:F29)</f>
        <v>5264</v>
      </c>
      <c r="H29" s="1"/>
    </row>
    <row r="30" spans="2:8" x14ac:dyDescent="0.2">
      <c r="B30" s="33"/>
      <c r="C30" s="115"/>
      <c r="D30" s="109" t="s">
        <v>88</v>
      </c>
      <c r="E30" s="114">
        <v>2165</v>
      </c>
      <c r="F30" s="114">
        <f>2470+641+8</f>
        <v>3119</v>
      </c>
      <c r="G30" s="111">
        <f>SUM(E30:F30)</f>
        <v>5284</v>
      </c>
    </row>
    <row r="31" spans="2:8" x14ac:dyDescent="0.2">
      <c r="B31" s="33"/>
      <c r="C31" s="115"/>
      <c r="D31" s="109" t="s">
        <v>91</v>
      </c>
      <c r="E31" s="114">
        <v>2446</v>
      </c>
      <c r="F31" s="114">
        <f>2625+834</f>
        <v>3459</v>
      </c>
      <c r="G31" s="111">
        <f>SUM(E31:F31)</f>
        <v>5905</v>
      </c>
    </row>
    <row r="32" spans="2:8" x14ac:dyDescent="0.2">
      <c r="B32" s="33"/>
      <c r="C32" s="115"/>
      <c r="D32" s="109" t="s">
        <v>94</v>
      </c>
      <c r="E32" s="114">
        <v>2487</v>
      </c>
      <c r="F32" s="114">
        <v>3709</v>
      </c>
      <c r="G32" s="111">
        <f>F32+E32</f>
        <v>6196</v>
      </c>
    </row>
    <row r="33" spans="2:7" x14ac:dyDescent="0.2">
      <c r="B33" s="33"/>
      <c r="C33" s="115"/>
      <c r="D33" s="109" t="s">
        <v>97</v>
      </c>
      <c r="E33" s="114">
        <v>2717</v>
      </c>
      <c r="F33" s="114">
        <f>3087+976</f>
        <v>4063</v>
      </c>
      <c r="G33" s="111">
        <f>F33+E33</f>
        <v>6780</v>
      </c>
    </row>
    <row r="34" spans="2:7" x14ac:dyDescent="0.2">
      <c r="B34" s="33"/>
      <c r="C34" s="115"/>
      <c r="D34" s="109" t="s">
        <v>101</v>
      </c>
      <c r="E34" s="114">
        <v>2719</v>
      </c>
      <c r="F34" s="114">
        <f>1096+3283</f>
        <v>4379</v>
      </c>
      <c r="G34" s="111">
        <f>F34+E34</f>
        <v>7098</v>
      </c>
    </row>
    <row r="35" spans="2:7" x14ac:dyDescent="0.2">
      <c r="B35" s="33"/>
      <c r="C35" s="115"/>
      <c r="D35" s="109" t="s">
        <v>102</v>
      </c>
      <c r="E35" s="114">
        <v>2789</v>
      </c>
      <c r="F35" s="114">
        <v>4474</v>
      </c>
      <c r="G35" s="111">
        <f>F35+E35</f>
        <v>7263</v>
      </c>
    </row>
    <row r="36" spans="2:7" x14ac:dyDescent="0.2">
      <c r="B36" s="33"/>
      <c r="C36" s="115"/>
      <c r="D36" s="116" t="s">
        <v>106</v>
      </c>
      <c r="E36" s="117">
        <v>2668</v>
      </c>
      <c r="F36" s="117">
        <f>3265+1148</f>
        <v>4413</v>
      </c>
      <c r="G36" s="118">
        <f>F36+E36</f>
        <v>7081</v>
      </c>
    </row>
    <row r="37" spans="2:7" x14ac:dyDescent="0.2">
      <c r="B37" s="33"/>
      <c r="C37" s="119" t="s">
        <v>74</v>
      </c>
      <c r="D37" s="101"/>
      <c r="E37" s="101"/>
      <c r="F37" s="78"/>
    </row>
    <row r="38" spans="2:7" ht="14.25" x14ac:dyDescent="0.2">
      <c r="B38" s="35"/>
      <c r="C38" s="29" t="s">
        <v>75</v>
      </c>
      <c r="D38" s="29"/>
      <c r="E38" s="29"/>
      <c r="F38" s="33"/>
    </row>
    <row r="39" spans="2:7" ht="14.25" x14ac:dyDescent="0.2">
      <c r="B39" s="35"/>
      <c r="C39" s="5" t="s">
        <v>92</v>
      </c>
      <c r="E39" s="29"/>
      <c r="F39" s="33"/>
    </row>
    <row r="40" spans="2:7" ht="14.25" x14ac:dyDescent="0.2">
      <c r="B40" s="10"/>
    </row>
    <row r="41" spans="2:7" ht="27" customHeight="1" x14ac:dyDescent="0.2">
      <c r="B41" s="36"/>
      <c r="C41" s="134" t="s">
        <v>76</v>
      </c>
      <c r="D41" s="134"/>
      <c r="E41" s="134"/>
      <c r="F41" s="134"/>
      <c r="G41" s="134"/>
    </row>
    <row r="42" spans="2:7" ht="14.25" x14ac:dyDescent="0.2">
      <c r="B42" s="21"/>
    </row>
    <row r="43" spans="2:7" x14ac:dyDescent="0.2">
      <c r="C43" s="120" t="s">
        <v>77</v>
      </c>
    </row>
    <row r="56" spans="2:8" x14ac:dyDescent="0.2">
      <c r="B56" s="15"/>
      <c r="C56" s="15"/>
      <c r="D56" s="15"/>
      <c r="E56" s="15"/>
      <c r="F56" s="15"/>
      <c r="G56" s="37"/>
    </row>
    <row r="57" spans="2:8" ht="9" customHeight="1" x14ac:dyDescent="0.2">
      <c r="B57" s="15"/>
      <c r="C57" s="15"/>
      <c r="D57" s="15"/>
      <c r="E57" s="15"/>
      <c r="F57" s="15"/>
      <c r="G57" s="37"/>
    </row>
    <row r="58" spans="2:8" x14ac:dyDescent="0.2">
      <c r="B58" s="127"/>
      <c r="C58" s="127"/>
      <c r="D58" s="127"/>
      <c r="E58" s="127"/>
      <c r="F58" s="127"/>
      <c r="G58" s="127"/>
      <c r="H58" s="16"/>
    </row>
  </sheetData>
  <mergeCells count="3">
    <mergeCell ref="D8:G8"/>
    <mergeCell ref="C41:G41"/>
    <mergeCell ref="B58:G58"/>
  </mergeCells>
  <printOptions horizontalCentered="1"/>
  <pageMargins left="1" right="1" top="0.94" bottom="0.83" header="0.5" footer="0.49"/>
  <pageSetup scale="65" orientation="portrait" horizontalDpi="300" verticalDpi="300" r:id="rId1"/>
  <headerFooter alignWithMargins="0"/>
  <colBreaks count="1" manualBreakCount="1">
    <brk id="11" max="408" man="1"/>
  </colBreaks>
  <ignoredErrors>
    <ignoredError sqref="G28" formulaRange="1"/>
  </ignoredErrors>
  <drawing r:id="rId2"/>
  <legacyDrawing r:id="rId3"/>
  <oleObjects>
    <mc:AlternateContent xmlns:mc="http://schemas.openxmlformats.org/markup-compatibility/2006">
      <mc:Choice Requires="x14">
        <oleObject progId="MSPhotoEd.3" shapeId="6145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47625</xdr:rowOff>
              </from>
              <to>
                <xdr:col>1</xdr:col>
                <xdr:colOff>409575</xdr:colOff>
                <xdr:row>3</xdr:row>
                <xdr:rowOff>9525</xdr:rowOff>
              </to>
            </anchor>
          </objectPr>
        </oleObject>
      </mc:Choice>
      <mc:Fallback>
        <oleObject progId="MSPhotoEd.3" shapeId="614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B3:K61"/>
  <sheetViews>
    <sheetView zoomScaleNormal="100" zoomScaleSheetLayoutView="100" workbookViewId="0">
      <selection activeCell="M3" sqref="M3"/>
    </sheetView>
  </sheetViews>
  <sheetFormatPr defaultColWidth="9.140625" defaultRowHeight="12.75" x14ac:dyDescent="0.2"/>
  <cols>
    <col min="1" max="1" width="9.140625" style="2" customWidth="1"/>
    <col min="2" max="2" width="9.5703125" style="2" customWidth="1"/>
    <col min="3" max="3" width="37.42578125" style="2" customWidth="1"/>
    <col min="4" max="6" width="9.140625" style="2"/>
    <col min="7" max="7" width="11" style="2" bestFit="1" customWidth="1"/>
    <col min="8" max="16384" width="9.140625" style="2"/>
  </cols>
  <sheetData>
    <row r="3" spans="2:9" x14ac:dyDescent="0.2">
      <c r="H3" s="4" t="s">
        <v>109</v>
      </c>
    </row>
    <row r="4" spans="2:9" ht="12.75" customHeight="1" x14ac:dyDescent="0.2"/>
    <row r="5" spans="2:9" ht="9" customHeight="1" x14ac:dyDescent="0.2"/>
    <row r="8" spans="2:9" ht="15.75" x14ac:dyDescent="0.25">
      <c r="B8" s="17">
        <v>15.06</v>
      </c>
      <c r="C8" s="41" t="s">
        <v>105</v>
      </c>
      <c r="D8" s="41"/>
      <c r="E8" s="41"/>
    </row>
    <row r="10" spans="2:9" ht="12.75" customHeight="1" x14ac:dyDescent="0.2"/>
    <row r="11" spans="2:9" x14ac:dyDescent="0.2">
      <c r="C11" s="93"/>
      <c r="D11" s="44">
        <v>2016</v>
      </c>
      <c r="E11" s="44">
        <v>2017</v>
      </c>
      <c r="F11" s="44">
        <v>2018</v>
      </c>
      <c r="G11" s="44">
        <v>2019</v>
      </c>
      <c r="H11" s="44">
        <v>2020</v>
      </c>
      <c r="I11" s="44">
        <v>2021</v>
      </c>
    </row>
    <row r="14" spans="2:9" ht="15.75" x14ac:dyDescent="0.25">
      <c r="C14" s="6" t="s">
        <v>78</v>
      </c>
    </row>
    <row r="15" spans="2:9" ht="15" customHeight="1" x14ac:dyDescent="0.2">
      <c r="C15" s="2" t="s">
        <v>79</v>
      </c>
      <c r="D15" s="121">
        <v>6.27</v>
      </c>
      <c r="E15" s="121">
        <v>6.3</v>
      </c>
      <c r="F15" s="121">
        <v>6.2</v>
      </c>
      <c r="G15" s="121">
        <v>6.09</v>
      </c>
      <c r="H15" s="121"/>
      <c r="I15" s="121"/>
    </row>
    <row r="16" spans="2:9" x14ac:dyDescent="0.2">
      <c r="D16" s="121"/>
      <c r="E16" s="121"/>
      <c r="F16" s="121"/>
      <c r="G16" s="121"/>
      <c r="H16" s="121"/>
      <c r="I16" s="121"/>
    </row>
    <row r="17" spans="3:9" x14ac:dyDescent="0.2">
      <c r="C17" s="2" t="s">
        <v>80</v>
      </c>
      <c r="D17" s="121">
        <v>2.39</v>
      </c>
      <c r="E17" s="121">
        <v>2.38</v>
      </c>
      <c r="F17" s="121">
        <v>2.35</v>
      </c>
      <c r="G17" s="121">
        <v>2.39</v>
      </c>
      <c r="H17" s="121"/>
      <c r="I17" s="121"/>
    </row>
    <row r="19" spans="3:9" x14ac:dyDescent="0.2">
      <c r="C19" s="2" t="s">
        <v>81</v>
      </c>
      <c r="D19" s="121">
        <v>178.14</v>
      </c>
      <c r="E19" s="121">
        <v>188.79</v>
      </c>
      <c r="F19" s="121">
        <v>197.4</v>
      </c>
      <c r="G19" s="121">
        <v>201.7</v>
      </c>
      <c r="H19" s="121"/>
      <c r="I19" s="121"/>
    </row>
    <row r="21" spans="3:9" s="14" customFormat="1" x14ac:dyDescent="0.2">
      <c r="C21" s="14" t="s">
        <v>82</v>
      </c>
      <c r="D21" s="56">
        <v>430.5</v>
      </c>
      <c r="E21" s="56">
        <v>497.6</v>
      </c>
      <c r="F21" s="56">
        <v>566.70000000000005</v>
      </c>
      <c r="G21" s="56">
        <v>617.6</v>
      </c>
      <c r="H21" s="56"/>
      <c r="I21" s="56"/>
    </row>
    <row r="24" spans="3:9" ht="12" customHeight="1" x14ac:dyDescent="0.2"/>
    <row r="25" spans="3:9" ht="15.75" x14ac:dyDescent="0.25">
      <c r="C25" s="6" t="s">
        <v>93</v>
      </c>
    </row>
    <row r="26" spans="3:9" ht="15" customHeight="1" x14ac:dyDescent="0.2">
      <c r="C26" s="2" t="s">
        <v>83</v>
      </c>
      <c r="D26" s="121">
        <v>97.33</v>
      </c>
      <c r="E26" s="121">
        <v>98.78</v>
      </c>
      <c r="F26" s="121">
        <v>96.3</v>
      </c>
      <c r="G26" s="121">
        <v>94.9</v>
      </c>
      <c r="H26" s="121"/>
      <c r="I26" s="121"/>
    </row>
    <row r="28" spans="3:9" x14ac:dyDescent="0.2">
      <c r="C28" s="2" t="s">
        <v>84</v>
      </c>
      <c r="D28" s="25">
        <v>1711.8</v>
      </c>
      <c r="E28" s="25">
        <v>1728</v>
      </c>
      <c r="F28" s="25">
        <v>1921</v>
      </c>
      <c r="G28" s="25">
        <v>1831</v>
      </c>
      <c r="H28" s="25"/>
      <c r="I28" s="25"/>
    </row>
    <row r="29" spans="3:9" x14ac:dyDescent="0.2">
      <c r="D29" s="25"/>
      <c r="E29" s="25"/>
      <c r="F29" s="25"/>
      <c r="G29" s="25"/>
      <c r="H29" s="25"/>
      <c r="I29" s="25"/>
    </row>
    <row r="30" spans="3:9" x14ac:dyDescent="0.2">
      <c r="C30" s="2" t="s">
        <v>98</v>
      </c>
      <c r="D30" s="122">
        <v>1541</v>
      </c>
      <c r="E30" s="122">
        <v>1556</v>
      </c>
      <c r="F30" s="122">
        <v>1729</v>
      </c>
      <c r="G30" s="122">
        <v>1648</v>
      </c>
      <c r="H30" s="122"/>
      <c r="I30" s="122"/>
    </row>
    <row r="32" spans="3:9" s="14" customFormat="1" x14ac:dyDescent="0.2">
      <c r="C32" s="14" t="s">
        <v>85</v>
      </c>
      <c r="D32" s="56">
        <v>149.9</v>
      </c>
      <c r="E32" s="56">
        <v>154</v>
      </c>
      <c r="F32" s="56">
        <v>166.5</v>
      </c>
      <c r="G32" s="56">
        <v>156.4</v>
      </c>
      <c r="H32" s="56"/>
      <c r="I32" s="56"/>
    </row>
    <row r="33" spans="2:9" x14ac:dyDescent="0.2">
      <c r="C33" s="4"/>
      <c r="D33" s="123"/>
      <c r="E33" s="123"/>
      <c r="F33" s="123"/>
      <c r="G33" s="123"/>
      <c r="H33" s="123"/>
      <c r="I33" s="123"/>
    </row>
    <row r="34" spans="2:9" ht="15.75" hidden="1" customHeight="1" x14ac:dyDescent="0.25">
      <c r="C34" s="124"/>
    </row>
    <row r="35" spans="2:9" ht="15.75" x14ac:dyDescent="0.25">
      <c r="C35" s="124"/>
    </row>
    <row r="36" spans="2:9" x14ac:dyDescent="0.2">
      <c r="C36" s="14" t="s">
        <v>86</v>
      </c>
      <c r="D36" s="56">
        <f>D32+D21</f>
        <v>580.4</v>
      </c>
      <c r="E36" s="56">
        <f>E32+E21</f>
        <v>651.6</v>
      </c>
      <c r="F36" s="56">
        <f>F32+F21</f>
        <v>733.2</v>
      </c>
      <c r="G36" s="56">
        <f>G32+G21</f>
        <v>774</v>
      </c>
      <c r="H36" s="56"/>
      <c r="I36" s="56"/>
    </row>
    <row r="37" spans="2:9" x14ac:dyDescent="0.2">
      <c r="B37" s="1"/>
      <c r="C37" s="74"/>
      <c r="D37" s="74"/>
      <c r="E37" s="74"/>
      <c r="F37" s="74"/>
      <c r="G37" s="74"/>
      <c r="H37" s="74"/>
      <c r="I37" s="74"/>
    </row>
    <row r="38" spans="2:9" x14ac:dyDescent="0.2">
      <c r="B38" s="1"/>
      <c r="C38" s="1"/>
    </row>
    <row r="39" spans="2:9" x14ac:dyDescent="0.2">
      <c r="C39" s="12" t="s">
        <v>87</v>
      </c>
    </row>
    <row r="40" spans="2:9" ht="14.25" x14ac:dyDescent="0.2">
      <c r="B40" s="36"/>
      <c r="C40" s="125" t="s">
        <v>107</v>
      </c>
    </row>
    <row r="41" spans="2:9" ht="14.25" x14ac:dyDescent="0.2">
      <c r="B41" s="36"/>
      <c r="C41" s="38"/>
    </row>
    <row r="42" spans="2:9" ht="14.25" x14ac:dyDescent="0.2">
      <c r="B42" s="36"/>
    </row>
    <row r="43" spans="2:9" ht="14.25" x14ac:dyDescent="0.2">
      <c r="B43" s="36"/>
    </row>
    <row r="44" spans="2:9" ht="14.25" x14ac:dyDescent="0.2">
      <c r="B44" s="36"/>
    </row>
    <row r="45" spans="2:9" ht="14.25" x14ac:dyDescent="0.2">
      <c r="B45" s="36"/>
    </row>
    <row r="46" spans="2:9" ht="14.25" x14ac:dyDescent="0.2">
      <c r="B46" s="36"/>
    </row>
    <row r="47" spans="2:9" ht="14.25" x14ac:dyDescent="0.2">
      <c r="B47" s="36"/>
    </row>
    <row r="48" spans="2:9" ht="14.25" x14ac:dyDescent="0.2">
      <c r="B48" s="36"/>
    </row>
    <row r="49" spans="2:3" ht="14.25" x14ac:dyDescent="0.2">
      <c r="B49" s="36"/>
    </row>
    <row r="50" spans="2:3" ht="14.25" x14ac:dyDescent="0.2">
      <c r="B50" s="36"/>
    </row>
    <row r="51" spans="2:3" ht="14.25" x14ac:dyDescent="0.2">
      <c r="B51" s="36"/>
    </row>
    <row r="52" spans="2:3" ht="14.25" x14ac:dyDescent="0.2">
      <c r="B52" s="36"/>
    </row>
    <row r="53" spans="2:3" ht="14.25" x14ac:dyDescent="0.2">
      <c r="B53" s="36"/>
    </row>
    <row r="54" spans="2:3" ht="14.25" x14ac:dyDescent="0.2">
      <c r="B54" s="36"/>
    </row>
    <row r="55" spans="2:3" ht="14.25" x14ac:dyDescent="0.2">
      <c r="B55" s="36"/>
    </row>
    <row r="56" spans="2:3" ht="14.25" x14ac:dyDescent="0.2">
      <c r="B56" s="36"/>
    </row>
    <row r="57" spans="2:3" ht="14.25" x14ac:dyDescent="0.2">
      <c r="B57" s="36"/>
    </row>
    <row r="58" spans="2:3" ht="14.25" x14ac:dyDescent="0.2">
      <c r="B58" s="36"/>
    </row>
    <row r="59" spans="2:3" x14ac:dyDescent="0.2">
      <c r="C59" s="15"/>
    </row>
    <row r="60" spans="2:3" ht="9" customHeight="1" x14ac:dyDescent="0.2"/>
    <row r="61" spans="2:3" x14ac:dyDescent="0.2">
      <c r="B61" s="127"/>
      <c r="C61" s="127"/>
    </row>
  </sheetData>
  <mergeCells count="1">
    <mergeCell ref="B61:C61"/>
  </mergeCells>
  <printOptions horizontalCentered="1"/>
  <pageMargins left="0.75" right="0.75" top="1" bottom="1" header="0.5" footer="0.24"/>
  <pageSetup scale="4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7169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38100</xdr:rowOff>
              </from>
              <to>
                <xdr:col>1</xdr:col>
                <xdr:colOff>342900</xdr:colOff>
                <xdr:row>3</xdr:row>
                <xdr:rowOff>57150</xdr:rowOff>
              </to>
            </anchor>
          </objectPr>
        </oleObject>
      </mc:Choice>
      <mc:Fallback>
        <oleObject progId="MSPhotoEd.3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.01</vt:lpstr>
      <vt:lpstr>.02</vt:lpstr>
      <vt:lpstr>.03</vt:lpstr>
      <vt:lpstr>.04</vt:lpstr>
      <vt:lpstr>.05</vt:lpstr>
      <vt:lpstr>.06</vt:lpstr>
      <vt:lpstr>'.01'!Print_Area</vt:lpstr>
      <vt:lpstr>'.02'!Print_Area</vt:lpstr>
      <vt:lpstr>'.03'!Print_Area</vt:lpstr>
      <vt:lpstr>'.05'!Print_Area</vt:lpstr>
      <vt:lpstr>'.06'!Print_Area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Ebanks, Narnia</cp:lastModifiedBy>
  <dcterms:created xsi:type="dcterms:W3CDTF">2016-01-21T16:40:39Z</dcterms:created>
  <dcterms:modified xsi:type="dcterms:W3CDTF">2022-09-29T21:40:27Z</dcterms:modified>
</cp:coreProperties>
</file>