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embeddings/oleObject9.bin" ContentType="application/vnd.openxmlformats-officedocument.oleObject"/>
  <Override PartName="/xl/charts/chart2.xml" ContentType="application/vnd.openxmlformats-officedocument.drawingml.chart+xml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charts/chart4.xml" ContentType="application/vnd.openxmlformats-officedocument.drawingml.chart+xml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Website &amp; Brochures\Right Side\Compendiums\2020\"/>
    </mc:Choice>
  </mc:AlternateContent>
  <bookViews>
    <workbookView xWindow="0" yWindow="0" windowWidth="9090" windowHeight="0" tabRatio="722"/>
  </bookViews>
  <sheets>
    <sheet name=".01" sheetId="10" r:id="rId1"/>
    <sheet name=".02" sheetId="9" r:id="rId2"/>
    <sheet name=".03a" sheetId="18" r:id="rId3"/>
    <sheet name=".03b" sheetId="19" r:id="rId4"/>
    <sheet name=".03c" sheetId="20" r:id="rId5"/>
    <sheet name=".04" sheetId="21" r:id="rId6"/>
    <sheet name=".03 delete" sheetId="3" state="hidden" r:id="rId7"/>
    <sheet name=".04 delete" sheetId="4" state="hidden" r:id="rId8"/>
    <sheet name=".05" sheetId="16" r:id="rId9"/>
    <sheet name=".06" sheetId="8" r:id="rId10"/>
    <sheet name=".07" sheetId="2" r:id="rId11"/>
    <sheet name=".08" sheetId="12" r:id="rId12"/>
    <sheet name=".09" sheetId="11" r:id="rId13"/>
    <sheet name=".10" sheetId="17" r:id="rId14"/>
    <sheet name=".10 delete" sheetId="13" state="hidden" r:id="rId15"/>
    <sheet name=".11" sheetId="14" r:id="rId16"/>
    <sheet name=".12 &amp; .13" sheetId="15" r:id="rId17"/>
  </sheets>
  <externalReferences>
    <externalReference r:id="rId18"/>
  </externalReferences>
  <definedNames>
    <definedName name="footer">'.03 delete'!$C$55</definedName>
    <definedName name="_xlnm.Print_Area" localSheetId="0">'.01'!$A$2:$AE$68</definedName>
    <definedName name="_xlnm.Print_Area" localSheetId="1">'.02'!$A$3:$AF$57</definedName>
    <definedName name="_xlnm.Print_Area" localSheetId="6">'.03 delete'!$A$2:$X$55</definedName>
    <definedName name="_xlnm.Print_Area" localSheetId="2">'.03a'!$B$9:$J$57</definedName>
    <definedName name="_xlnm.Print_Area" localSheetId="3">'.03b'!$B$8:$I$56</definedName>
    <definedName name="_xlnm.Print_Area" localSheetId="4">'.03c'!$B$10:$J$57</definedName>
    <definedName name="_xlnm.Print_Area" localSheetId="5">'.04'!$B$11:$I$58</definedName>
    <definedName name="_xlnm.Print_Area" localSheetId="7">'.04 delete'!$A$2:$T$75</definedName>
    <definedName name="_xlnm.Print_Area" localSheetId="8">'.05'!$A$2:$AP$58</definedName>
    <definedName name="_xlnm.Print_Area" localSheetId="9">'.06'!$A$2:$L$87</definedName>
    <definedName name="_xlnm.Print_Area" localSheetId="10">'.07'!$A$1:$L$97</definedName>
    <definedName name="_xlnm.Print_Area" localSheetId="11">'.08'!$A$1:$N$84</definedName>
    <definedName name="_xlnm.Print_Area" localSheetId="12">'.09'!$A$1:$N$90</definedName>
    <definedName name="_xlnm.Print_Area" localSheetId="14">'.10 delete'!$A$2:$AM$74</definedName>
    <definedName name="_xlnm.Print_Area" localSheetId="15">'.11'!$A$2:$Z$61</definedName>
    <definedName name="_xlnm.Print_Area" localSheetId="16">'.12 &amp; .13'!$A$2:$AA$56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F11" i="8" l="1"/>
  <c r="J11" i="8"/>
  <c r="F12" i="8"/>
  <c r="J12" i="8"/>
  <c r="F13" i="8"/>
  <c r="J13" i="8"/>
  <c r="F14" i="8"/>
  <c r="J14" i="8"/>
  <c r="F15" i="8"/>
  <c r="J15" i="8"/>
  <c r="F16" i="8"/>
  <c r="J16" i="8"/>
  <c r="F17" i="8"/>
  <c r="J17" i="8"/>
  <c r="F18" i="8"/>
  <c r="J18" i="8"/>
  <c r="F19" i="8"/>
  <c r="J19" i="8"/>
  <c r="F20" i="8"/>
  <c r="J20" i="8"/>
  <c r="F21" i="8"/>
  <c r="J21" i="8"/>
  <c r="F22" i="8"/>
  <c r="J22" i="8"/>
  <c r="F23" i="8"/>
  <c r="J23" i="8"/>
  <c r="F25" i="8"/>
  <c r="J25" i="8"/>
  <c r="F26" i="8"/>
  <c r="J26" i="8"/>
  <c r="F27" i="8"/>
  <c r="J27" i="8"/>
  <c r="F28" i="8"/>
  <c r="J28" i="8"/>
  <c r="F29" i="8"/>
  <c r="J29" i="8"/>
  <c r="F31" i="8"/>
  <c r="J31" i="8"/>
  <c r="F32" i="8"/>
  <c r="J32" i="8"/>
  <c r="F33" i="8"/>
  <c r="J33" i="8"/>
  <c r="F34" i="8"/>
  <c r="J34" i="8"/>
  <c r="F35" i="8"/>
  <c r="J35" i="8"/>
  <c r="F37" i="8"/>
  <c r="J37" i="8"/>
  <c r="F38" i="8"/>
  <c r="J38" i="8"/>
  <c r="F39" i="8"/>
  <c r="J39" i="8"/>
  <c r="F40" i="8"/>
  <c r="J40" i="8"/>
  <c r="D41" i="8"/>
  <c r="F41" i="8"/>
  <c r="J41" i="8"/>
  <c r="D43" i="8"/>
  <c r="F43" i="8"/>
  <c r="J43" i="8"/>
  <c r="F44" i="8"/>
  <c r="J44" i="8"/>
  <c r="F45" i="8"/>
  <c r="J45" i="8"/>
  <c r="F46" i="8"/>
  <c r="J46" i="8"/>
  <c r="F47" i="8"/>
  <c r="J47" i="8"/>
  <c r="F49" i="8"/>
  <c r="J49" i="8"/>
  <c r="F50" i="8"/>
  <c r="J50" i="8"/>
  <c r="F51" i="8"/>
  <c r="J51" i="8"/>
  <c r="F52" i="8"/>
  <c r="J52" i="8"/>
  <c r="F53" i="8"/>
  <c r="J53" i="8"/>
  <c r="F54" i="8"/>
  <c r="J54" i="8"/>
  <c r="F55" i="8"/>
  <c r="J55" i="8"/>
  <c r="F56" i="8"/>
  <c r="J56" i="8"/>
  <c r="F57" i="8"/>
  <c r="J57" i="8"/>
  <c r="F58" i="8"/>
  <c r="J58" i="8"/>
  <c r="L67" i="11" l="1"/>
  <c r="K67" i="11"/>
  <c r="L63" i="12"/>
  <c r="K63" i="12"/>
  <c r="I68" i="2" l="1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D18" i="14"/>
  <c r="AC24" i="14"/>
  <c r="U11" i="15" l="1"/>
  <c r="V11" i="15"/>
  <c r="W11" i="15"/>
  <c r="X11" i="15"/>
  <c r="Y11" i="15"/>
  <c r="Z11" i="15"/>
  <c r="AA11" i="15"/>
  <c r="AB11" i="15"/>
  <c r="AC11" i="15"/>
  <c r="AD11" i="15"/>
  <c r="T11" i="15"/>
  <c r="T44" i="15" l="1"/>
  <c r="AD44" i="15" l="1"/>
  <c r="I74" i="21" l="1"/>
  <c r="I73" i="21"/>
  <c r="I72" i="21"/>
  <c r="I71" i="21"/>
  <c r="F74" i="21"/>
  <c r="F73" i="21"/>
  <c r="F72" i="21"/>
  <c r="F71" i="21"/>
  <c r="AI13" i="9"/>
  <c r="AI29" i="9"/>
  <c r="K66" i="11" l="1"/>
  <c r="K35" i="11"/>
  <c r="K36" i="11"/>
  <c r="K37" i="11"/>
  <c r="K39" i="11"/>
  <c r="K40" i="11"/>
  <c r="K41" i="11"/>
  <c r="K42" i="11"/>
  <c r="K43" i="11"/>
  <c r="K45" i="11"/>
  <c r="K46" i="11"/>
  <c r="K47" i="11"/>
  <c r="K48" i="11"/>
  <c r="K49" i="11"/>
  <c r="K51" i="11"/>
  <c r="K52" i="11"/>
  <c r="K53" i="11"/>
  <c r="K54" i="11"/>
  <c r="K55" i="11"/>
  <c r="K57" i="11"/>
  <c r="K58" i="11"/>
  <c r="K59" i="11"/>
  <c r="K60" i="11"/>
  <c r="K61" i="11"/>
  <c r="K63" i="11"/>
  <c r="K64" i="11"/>
  <c r="K65" i="11"/>
  <c r="K34" i="11"/>
  <c r="I67" i="2"/>
  <c r="AB24" i="14"/>
  <c r="L66" i="11" l="1"/>
  <c r="K31" i="12"/>
  <c r="K32" i="12"/>
  <c r="K33" i="12"/>
  <c r="K35" i="12"/>
  <c r="K36" i="12"/>
  <c r="K37" i="12"/>
  <c r="K38" i="12"/>
  <c r="K39" i="12"/>
  <c r="K41" i="12"/>
  <c r="K42" i="12"/>
  <c r="K43" i="12"/>
  <c r="K44" i="12"/>
  <c r="K45" i="12"/>
  <c r="K47" i="12"/>
  <c r="K48" i="12"/>
  <c r="K49" i="12"/>
  <c r="K50" i="12"/>
  <c r="K51" i="12"/>
  <c r="K53" i="12"/>
  <c r="K54" i="12"/>
  <c r="K55" i="12"/>
  <c r="K56" i="12"/>
  <c r="K57" i="12"/>
  <c r="K59" i="12"/>
  <c r="K60" i="12"/>
  <c r="K61" i="12"/>
  <c r="K62" i="12"/>
  <c r="L62" i="12" l="1"/>
  <c r="I70" i="21"/>
  <c r="I69" i="21"/>
  <c r="I68" i="21"/>
  <c r="I67" i="21"/>
  <c r="F70" i="21"/>
  <c r="F69" i="21"/>
  <c r="F68" i="21"/>
  <c r="F67" i="21"/>
  <c r="AH29" i="9"/>
  <c r="AH13" i="9"/>
  <c r="AC44" i="15" l="1"/>
  <c r="V44" i="15" l="1"/>
  <c r="W44" i="15"/>
  <c r="X44" i="15"/>
  <c r="Y44" i="15"/>
  <c r="Z44" i="15"/>
  <c r="AA44" i="15"/>
  <c r="AB44" i="15"/>
  <c r="U44" i="15"/>
  <c r="C87" i="8"/>
  <c r="C88" i="8"/>
  <c r="C89" i="8"/>
  <c r="C90" i="8"/>
  <c r="D99" i="8"/>
  <c r="D100" i="8"/>
  <c r="F100" i="8"/>
  <c r="D101" i="8"/>
  <c r="F101" i="8"/>
  <c r="D102" i="8"/>
  <c r="F102" i="8"/>
  <c r="D103" i="8"/>
  <c r="F103" i="8"/>
  <c r="D105" i="8"/>
  <c r="F105" i="8"/>
  <c r="D106" i="8"/>
  <c r="F106" i="8"/>
  <c r="D107" i="8"/>
  <c r="F107" i="8"/>
  <c r="AA24" i="14" l="1"/>
  <c r="I66" i="2"/>
  <c r="L65" i="11" l="1"/>
  <c r="L61" i="12"/>
  <c r="AG29" i="9"/>
  <c r="AG13" i="9"/>
  <c r="I66" i="21"/>
  <c r="I65" i="21"/>
  <c r="I64" i="21"/>
  <c r="I63" i="21"/>
  <c r="F66" i="21"/>
  <c r="F65" i="21"/>
  <c r="F64" i="21"/>
  <c r="F63" i="21"/>
  <c r="J65" i="20"/>
  <c r="J64" i="20"/>
  <c r="J63" i="20"/>
  <c r="J62" i="20"/>
  <c r="Z24" i="14" l="1"/>
  <c r="L64" i="11"/>
  <c r="I65" i="2"/>
  <c r="L60" i="12" l="1"/>
  <c r="BE14" i="16"/>
  <c r="BE19" i="16"/>
  <c r="BE23" i="16"/>
  <c r="BE28" i="16"/>
  <c r="AQ13" i="16"/>
  <c r="AQ31" i="16" s="1"/>
  <c r="AQ15" i="16"/>
  <c r="AQ17" i="16"/>
  <c r="AQ19" i="16"/>
  <c r="AQ21" i="16"/>
  <c r="AQ23" i="16"/>
  <c r="AQ25" i="16"/>
  <c r="AQ27" i="16"/>
  <c r="AQ29" i="16"/>
  <c r="AF29" i="9"/>
  <c r="AF13" i="9"/>
  <c r="I62" i="21"/>
  <c r="I61" i="21"/>
  <c r="I60" i="21"/>
  <c r="I59" i="21"/>
  <c r="F62" i="21"/>
  <c r="F61" i="21"/>
  <c r="F60" i="21"/>
  <c r="F59" i="21"/>
  <c r="J61" i="20"/>
  <c r="J60" i="20"/>
  <c r="J59" i="20"/>
  <c r="J58" i="20"/>
  <c r="I58" i="21"/>
  <c r="J57" i="20"/>
  <c r="I60" i="19"/>
  <c r="I59" i="19"/>
  <c r="I58" i="19"/>
  <c r="I57" i="19"/>
  <c r="BE13" i="16" l="1"/>
  <c r="BE12" i="16" s="1"/>
  <c r="Y24" i="14"/>
  <c r="AH28" i="16" l="1"/>
  <c r="AI28" i="16"/>
  <c r="AJ28" i="16"/>
  <c r="AK28" i="16"/>
  <c r="AL28" i="16"/>
  <c r="AM28" i="16"/>
  <c r="AN28" i="16"/>
  <c r="AO28" i="16"/>
  <c r="AP28" i="16"/>
  <c r="AH23" i="16"/>
  <c r="AI23" i="16"/>
  <c r="AJ23" i="16"/>
  <c r="AK23" i="16"/>
  <c r="AL23" i="16"/>
  <c r="AM23" i="16"/>
  <c r="AN23" i="16"/>
  <c r="AO23" i="16"/>
  <c r="AP23" i="16"/>
  <c r="AG14" i="16"/>
  <c r="AH14" i="16"/>
  <c r="AI14" i="16"/>
  <c r="AJ14" i="16"/>
  <c r="AK14" i="16"/>
  <c r="AL14" i="16"/>
  <c r="AM14" i="16"/>
  <c r="AN14" i="16"/>
  <c r="AH19" i="16"/>
  <c r="AI19" i="16"/>
  <c r="AJ19" i="16"/>
  <c r="AK19" i="16"/>
  <c r="AL19" i="16"/>
  <c r="AM19" i="16"/>
  <c r="AN19" i="16"/>
  <c r="AO19" i="16"/>
  <c r="AP19" i="16"/>
  <c r="AO14" i="16"/>
  <c r="AP14" i="16"/>
  <c r="S17" i="4"/>
  <c r="S16" i="4"/>
  <c r="S15" i="4"/>
  <c r="AO13" i="16" l="1"/>
  <c r="AN13" i="16"/>
  <c r="AP13" i="16"/>
  <c r="AS18" i="16"/>
  <c r="AM13" i="16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14" i="20"/>
  <c r="AE29" i="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13" i="19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14" i="18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15" i="21"/>
  <c r="AE13" i="9" l="1"/>
  <c r="I64" i="2"/>
  <c r="J10" i="15"/>
  <c r="Q11" i="15"/>
  <c r="R11" i="15"/>
  <c r="S11" i="15"/>
  <c r="AI39" i="15" s="1"/>
  <c r="AJ39" i="15"/>
  <c r="AL39" i="15"/>
  <c r="E12" i="15"/>
  <c r="F12" i="15"/>
  <c r="G12" i="15"/>
  <c r="H12" i="15"/>
  <c r="I12" i="15"/>
  <c r="J12" i="15"/>
  <c r="K12" i="15"/>
  <c r="L12" i="15"/>
  <c r="M12" i="15"/>
  <c r="N12" i="15"/>
  <c r="O12" i="15"/>
  <c r="AH39" i="15"/>
  <c r="AK39" i="15"/>
  <c r="F43" i="15"/>
  <c r="G43" i="15" s="1"/>
  <c r="E46" i="15"/>
  <c r="K46" i="15"/>
  <c r="L46" i="15"/>
  <c r="M46" i="15"/>
  <c r="N46" i="15"/>
  <c r="O46" i="15"/>
  <c r="E10" i="14"/>
  <c r="F10" i="14" s="1"/>
  <c r="G10" i="14" s="1"/>
  <c r="H10" i="14" s="1"/>
  <c r="I10" i="14" s="1"/>
  <c r="AC31" i="14"/>
  <c r="AC33" i="14"/>
  <c r="AC36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W24" i="14"/>
  <c r="X24" i="14"/>
  <c r="AC30" i="14"/>
  <c r="AC32" i="14"/>
  <c r="AC35" i="14"/>
  <c r="Y19" i="13"/>
  <c r="Y43" i="13" s="1"/>
  <c r="AE19" i="13"/>
  <c r="U23" i="13"/>
  <c r="V23" i="13"/>
  <c r="W23" i="13"/>
  <c r="X23" i="13"/>
  <c r="Y23" i="13"/>
  <c r="Z23" i="13"/>
  <c r="AA23" i="13"/>
  <c r="AB23" i="13"/>
  <c r="AC23" i="13"/>
  <c r="AC26" i="13" s="1"/>
  <c r="AI23" i="13"/>
  <c r="U24" i="13"/>
  <c r="V24" i="13"/>
  <c r="W24" i="13"/>
  <c r="W26" i="13" s="1"/>
  <c r="X24" i="13"/>
  <c r="Y24" i="13"/>
  <c r="Z24" i="13"/>
  <c r="AA24" i="13"/>
  <c r="AB24" i="13"/>
  <c r="AC24" i="13"/>
  <c r="U25" i="13"/>
  <c r="V25" i="13"/>
  <c r="W25" i="13"/>
  <c r="X25" i="13"/>
  <c r="Y25" i="13"/>
  <c r="Z25" i="13"/>
  <c r="AA25" i="13"/>
  <c r="AB25" i="13"/>
  <c r="AC25" i="13"/>
  <c r="AI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Q26" i="13"/>
  <c r="V26" i="13"/>
  <c r="AD26" i="13"/>
  <c r="AE26" i="13"/>
  <c r="AF26" i="13"/>
  <c r="AG26" i="13"/>
  <c r="AC35" i="13"/>
  <c r="AC37" i="13"/>
  <c r="AC39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S43" i="13"/>
  <c r="T43" i="13"/>
  <c r="U43" i="13"/>
  <c r="V43" i="13"/>
  <c r="W43" i="13"/>
  <c r="X82" i="13"/>
  <c r="X19" i="13" s="1"/>
  <c r="X43" i="13" s="1"/>
  <c r="Y82" i="13"/>
  <c r="Z82" i="13"/>
  <c r="Z19" i="13" s="1"/>
  <c r="AA82" i="13"/>
  <c r="AA19" i="13" s="1"/>
  <c r="AB82" i="13"/>
  <c r="AB19" i="13" s="1"/>
  <c r="AC82" i="13"/>
  <c r="AC19" i="13" s="1"/>
  <c r="AD82" i="13"/>
  <c r="U97" i="13"/>
  <c r="V97" i="13"/>
  <c r="W97" i="13"/>
  <c r="X97" i="13"/>
  <c r="Y97" i="13"/>
  <c r="Z97" i="13"/>
  <c r="AA97" i="13"/>
  <c r="AB97" i="13"/>
  <c r="AC97" i="13"/>
  <c r="AD97" i="13"/>
  <c r="U100" i="13"/>
  <c r="V100" i="13"/>
  <c r="W100" i="13"/>
  <c r="X100" i="13"/>
  <c r="Y100" i="13"/>
  <c r="Y102" i="13" s="1"/>
  <c r="Z100" i="13"/>
  <c r="AA100" i="13"/>
  <c r="AB100" i="13"/>
  <c r="AC100" i="13"/>
  <c r="AD100" i="13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L48" i="11"/>
  <c r="L52" i="11"/>
  <c r="L53" i="11"/>
  <c r="L57" i="11"/>
  <c r="L63" i="11"/>
  <c r="K13" i="12"/>
  <c r="K14" i="12"/>
  <c r="L14" i="12" s="1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E28" i="12"/>
  <c r="K28" i="12" s="1"/>
  <c r="E29" i="12"/>
  <c r="K29" i="12" s="1"/>
  <c r="E30" i="12"/>
  <c r="K30" i="12" s="1"/>
  <c r="L32" i="12"/>
  <c r="L35" i="12"/>
  <c r="L36" i="12"/>
  <c r="L37" i="12"/>
  <c r="L38" i="12"/>
  <c r="L41" i="12"/>
  <c r="L42" i="12"/>
  <c r="L43" i="12"/>
  <c r="L44" i="12"/>
  <c r="L48" i="12"/>
  <c r="L50" i="12"/>
  <c r="L51" i="12"/>
  <c r="L53" i="12"/>
  <c r="L55" i="12"/>
  <c r="L56" i="12"/>
  <c r="L59" i="12"/>
  <c r="I12" i="2"/>
  <c r="I13" i="2"/>
  <c r="I14" i="2"/>
  <c r="I15" i="2"/>
  <c r="I16" i="2"/>
  <c r="I18" i="2"/>
  <c r="I19" i="2"/>
  <c r="I20" i="2"/>
  <c r="I21" i="2"/>
  <c r="I22" i="2"/>
  <c r="I24" i="2"/>
  <c r="I25" i="2"/>
  <c r="I26" i="2"/>
  <c r="I27" i="2"/>
  <c r="I28" i="2"/>
  <c r="I30" i="2"/>
  <c r="I31" i="2"/>
  <c r="I32" i="2"/>
  <c r="I33" i="2"/>
  <c r="I34" i="2"/>
  <c r="I35" i="2"/>
  <c r="I36" i="2"/>
  <c r="I37" i="2"/>
  <c r="I38" i="2"/>
  <c r="I40" i="2"/>
  <c r="I41" i="2"/>
  <c r="I42" i="2"/>
  <c r="I43" i="2"/>
  <c r="I44" i="2"/>
  <c r="I46" i="2"/>
  <c r="I47" i="2"/>
  <c r="I48" i="2"/>
  <c r="I49" i="2"/>
  <c r="I50" i="2"/>
  <c r="I52" i="2"/>
  <c r="I53" i="2"/>
  <c r="I54" i="2"/>
  <c r="I55" i="2"/>
  <c r="I56" i="2"/>
  <c r="I58" i="2"/>
  <c r="I59" i="2"/>
  <c r="I60" i="2"/>
  <c r="I61" i="2"/>
  <c r="I62" i="2"/>
  <c r="AG19" i="16"/>
  <c r="AG23" i="16"/>
  <c r="AG28" i="16"/>
  <c r="AS50" i="16"/>
  <c r="AT42" i="16" s="1"/>
  <c r="AR58" i="16"/>
  <c r="AS58" i="16"/>
  <c r="AT58" i="16"/>
  <c r="AS59" i="16"/>
  <c r="AT59" i="16"/>
  <c r="AU59" i="16"/>
  <c r="AU68" i="16" s="1"/>
  <c r="AQ60" i="16"/>
  <c r="AR60" i="16"/>
  <c r="AS60" i="16"/>
  <c r="AT60" i="16"/>
  <c r="AU60" i="16"/>
  <c r="AQ61" i="16"/>
  <c r="AR61" i="16"/>
  <c r="AS61" i="16"/>
  <c r="AT61" i="16"/>
  <c r="AU61" i="16"/>
  <c r="AQ62" i="16"/>
  <c r="AR62" i="16"/>
  <c r="AS62" i="16"/>
  <c r="AT62" i="16"/>
  <c r="AU62" i="16"/>
  <c r="AQ63" i="16"/>
  <c r="AR63" i="16"/>
  <c r="AS63" i="16"/>
  <c r="AT63" i="16"/>
  <c r="AU63" i="16"/>
  <c r="AQ64" i="16"/>
  <c r="AR64" i="16"/>
  <c r="AS64" i="16"/>
  <c r="AT64" i="16"/>
  <c r="AU64" i="16"/>
  <c r="AQ65" i="16"/>
  <c r="AR65" i="16"/>
  <c r="AS65" i="16"/>
  <c r="AT65" i="16"/>
  <c r="AU65" i="16"/>
  <c r="AW66" i="16"/>
  <c r="AW68" i="16" s="1"/>
  <c r="BA65" i="16" s="1"/>
  <c r="AV68" i="16"/>
  <c r="AX68" i="16"/>
  <c r="AX70" i="16"/>
  <c r="G15" i="4"/>
  <c r="H15" i="4"/>
  <c r="I15" i="4"/>
  <c r="J15" i="4"/>
  <c r="J20" i="4" s="1"/>
  <c r="K15" i="4"/>
  <c r="K20" i="4" s="1"/>
  <c r="Q15" i="4"/>
  <c r="H16" i="4"/>
  <c r="I16" i="4"/>
  <c r="I20" i="4" s="1"/>
  <c r="J16" i="4"/>
  <c r="V37" i="4" s="1"/>
  <c r="K16" i="4"/>
  <c r="Q16" i="4"/>
  <c r="H17" i="4"/>
  <c r="I17" i="4"/>
  <c r="J17" i="4"/>
  <c r="K17" i="4"/>
  <c r="Q17" i="4"/>
  <c r="D20" i="4"/>
  <c r="D26" i="4" s="1"/>
  <c r="E20" i="4"/>
  <c r="E26" i="4" s="1"/>
  <c r="F20" i="4"/>
  <c r="F26" i="4" s="1"/>
  <c r="G20" i="4"/>
  <c r="G26" i="4" s="1"/>
  <c r="H20" i="4"/>
  <c r="H26" i="4" s="1"/>
  <c r="L20" i="4"/>
  <c r="L26" i="4" s="1"/>
  <c r="M20" i="4"/>
  <c r="AA44" i="4" s="1"/>
  <c r="N20" i="4"/>
  <c r="AA45" i="4" s="1"/>
  <c r="O20" i="4"/>
  <c r="R20" i="4"/>
  <c r="K22" i="4"/>
  <c r="P22" i="4"/>
  <c r="K24" i="4"/>
  <c r="P24" i="4"/>
  <c r="O26" i="4"/>
  <c r="P26" i="4"/>
  <c r="V38" i="4"/>
  <c r="V39" i="4"/>
  <c r="V40" i="4"/>
  <c r="AA41" i="4"/>
  <c r="AA42" i="4"/>
  <c r="AA46" i="4"/>
  <c r="E13" i="3"/>
  <c r="F13" i="3"/>
  <c r="G13" i="3"/>
  <c r="H13" i="3"/>
  <c r="I13" i="3"/>
  <c r="J13" i="3"/>
  <c r="O13" i="3"/>
  <c r="P13" i="3"/>
  <c r="Q13" i="3"/>
  <c r="R13" i="3"/>
  <c r="S13" i="3"/>
  <c r="V13" i="3"/>
  <c r="M15" i="3"/>
  <c r="N15" i="3"/>
  <c r="T15" i="3"/>
  <c r="U15" i="3"/>
  <c r="N18" i="3"/>
  <c r="T18" i="3"/>
  <c r="U18" i="3"/>
  <c r="K20" i="3"/>
  <c r="L20" i="3"/>
  <c r="M20" i="3"/>
  <c r="U20" i="3"/>
  <c r="U13" i="3" s="1"/>
  <c r="AA21" i="3"/>
  <c r="AA22" i="3"/>
  <c r="K23" i="3"/>
  <c r="L23" i="3"/>
  <c r="M23" i="3"/>
  <c r="N23" i="3"/>
  <c r="T23" i="3"/>
  <c r="U23" i="3"/>
  <c r="AA23" i="3"/>
  <c r="K24" i="3"/>
  <c r="L24" i="3"/>
  <c r="M24" i="3"/>
  <c r="N24" i="3"/>
  <c r="T24" i="3"/>
  <c r="U24" i="3"/>
  <c r="AA24" i="3"/>
  <c r="Y25" i="3"/>
  <c r="AA25" i="3"/>
  <c r="L26" i="3"/>
  <c r="M26" i="3"/>
  <c r="N26" i="3"/>
  <c r="T26" i="3"/>
  <c r="U26" i="3"/>
  <c r="Y26" i="3"/>
  <c r="Z26" i="3"/>
  <c r="AA26" i="3"/>
  <c r="L27" i="3"/>
  <c r="N27" i="3"/>
  <c r="T27" i="3"/>
  <c r="U27" i="3"/>
  <c r="C55" i="3"/>
  <c r="B75" i="4" s="1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X13" i="9"/>
  <c r="Y13" i="9"/>
  <c r="Z13" i="9"/>
  <c r="AA13" i="9"/>
  <c r="AB13" i="9"/>
  <c r="AC13" i="9"/>
  <c r="AD13" i="9"/>
  <c r="W15" i="9"/>
  <c r="W16" i="9"/>
  <c r="W17" i="9"/>
  <c r="W18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C57" i="9"/>
  <c r="B68" i="10" s="1"/>
  <c r="B74" i="13" s="1"/>
  <c r="B61" i="14" s="1"/>
  <c r="T18" i="10"/>
  <c r="L19" i="10"/>
  <c r="M19" i="10"/>
  <c r="N19" i="10"/>
  <c r="N30" i="10" s="1"/>
  <c r="N13" i="10" s="1"/>
  <c r="S19" i="10"/>
  <c r="S30" i="10" s="1"/>
  <c r="T19" i="10"/>
  <c r="U19" i="10"/>
  <c r="U30" i="10" s="1"/>
  <c r="U13" i="10" s="1"/>
  <c r="T20" i="10"/>
  <c r="T21" i="10"/>
  <c r="T22" i="10"/>
  <c r="T23" i="10"/>
  <c r="T25" i="10"/>
  <c r="T26" i="10"/>
  <c r="T27" i="10"/>
  <c r="T28" i="10"/>
  <c r="D30" i="10"/>
  <c r="D13" i="10" s="1"/>
  <c r="D14" i="10" s="1"/>
  <c r="E30" i="10"/>
  <c r="E13" i="10" s="1"/>
  <c r="F30" i="10"/>
  <c r="F13" i="10" s="1"/>
  <c r="G30" i="10"/>
  <c r="G13" i="10" s="1"/>
  <c r="H30" i="10"/>
  <c r="H13" i="10" s="1"/>
  <c r="I30" i="10"/>
  <c r="I13" i="10" s="1"/>
  <c r="J30" i="10"/>
  <c r="J13" i="10" s="1"/>
  <c r="K30" i="10"/>
  <c r="K13" i="10" s="1"/>
  <c r="L30" i="10"/>
  <c r="L13" i="10" s="1"/>
  <c r="L14" i="10" s="1"/>
  <c r="M30" i="10"/>
  <c r="M13" i="10" s="1"/>
  <c r="O30" i="10"/>
  <c r="O13" i="10" s="1"/>
  <c r="P30" i="10"/>
  <c r="AB48" i="10" s="1"/>
  <c r="Q30" i="10"/>
  <c r="Q13" i="10" s="1"/>
  <c r="R30" i="10"/>
  <c r="R13" i="10" s="1"/>
  <c r="U32" i="10"/>
  <c r="AH48" i="10"/>
  <c r="AI48" i="10"/>
  <c r="AJ48" i="10"/>
  <c r="AK48" i="10"/>
  <c r="AL48" i="10"/>
  <c r="AH49" i="10"/>
  <c r="AI49" i="10"/>
  <c r="AJ49" i="10"/>
  <c r="AK49" i="10"/>
  <c r="AL49" i="10"/>
  <c r="L26" i="11" l="1"/>
  <c r="L14" i="11"/>
  <c r="L29" i="11"/>
  <c r="L13" i="11"/>
  <c r="L26" i="12"/>
  <c r="L22" i="12"/>
  <c r="L19" i="12"/>
  <c r="L18" i="12"/>
  <c r="L25" i="12"/>
  <c r="L17" i="12"/>
  <c r="L29" i="12"/>
  <c r="AB26" i="13"/>
  <c r="M13" i="3"/>
  <c r="N26" i="4"/>
  <c r="L24" i="12"/>
  <c r="AA26" i="13"/>
  <c r="U26" i="13"/>
  <c r="X26" i="13"/>
  <c r="Z26" i="13"/>
  <c r="M26" i="4"/>
  <c r="Y26" i="13"/>
  <c r="AA43" i="4"/>
  <c r="L13" i="3"/>
  <c r="K13" i="3"/>
  <c r="N13" i="3"/>
  <c r="AA39" i="4"/>
  <c r="J26" i="4"/>
  <c r="K26" i="4"/>
  <c r="AA40" i="4"/>
  <c r="I26" i="4"/>
  <c r="AA38" i="4"/>
  <c r="E14" i="10"/>
  <c r="T30" i="10"/>
  <c r="T13" i="10" s="1"/>
  <c r="H14" i="10"/>
  <c r="L57" i="12"/>
  <c r="L45" i="12"/>
  <c r="L20" i="12"/>
  <c r="M14" i="10"/>
  <c r="W13" i="9"/>
  <c r="L28" i="12"/>
  <c r="L16" i="12"/>
  <c r="AG13" i="16"/>
  <c r="AG12" i="16" s="1"/>
  <c r="L54" i="12"/>
  <c r="L27" i="12"/>
  <c r="L15" i="12"/>
  <c r="AA98" i="13"/>
  <c r="AA37" i="4"/>
  <c r="L40" i="11"/>
  <c r="L35" i="11"/>
  <c r="L23" i="11"/>
  <c r="I14" i="10"/>
  <c r="AA36" i="4"/>
  <c r="P13" i="10"/>
  <c r="AD48" i="10"/>
  <c r="V36" i="4"/>
  <c r="L49" i="12"/>
  <c r="L23" i="12"/>
  <c r="L60" i="11"/>
  <c r="L47" i="11"/>
  <c r="AA35" i="4"/>
  <c r="AA34" i="4"/>
  <c r="AX76" i="16"/>
  <c r="AS68" i="16"/>
  <c r="L47" i="12"/>
  <c r="L33" i="12"/>
  <c r="L21" i="12"/>
  <c r="L58" i="11"/>
  <c r="L43" i="11"/>
  <c r="L30" i="11"/>
  <c r="L18" i="11"/>
  <c r="AT41" i="16"/>
  <c r="AR68" i="16"/>
  <c r="AT68" i="16"/>
  <c r="AT45" i="16"/>
  <c r="H43" i="15"/>
  <c r="G46" i="15"/>
  <c r="F46" i="15"/>
  <c r="L41" i="11"/>
  <c r="L36" i="11"/>
  <c r="L32" i="11"/>
  <c r="L24" i="11"/>
  <c r="L20" i="11"/>
  <c r="L16" i="11"/>
  <c r="L59" i="11"/>
  <c r="L54" i="11"/>
  <c r="L49" i="11"/>
  <c r="L45" i="11"/>
  <c r="L42" i="11"/>
  <c r="L37" i="11"/>
  <c r="L33" i="11"/>
  <c r="L31" i="11"/>
  <c r="L27" i="11"/>
  <c r="L25" i="11"/>
  <c r="L21" i="11"/>
  <c r="L19" i="11"/>
  <c r="L17" i="11"/>
  <c r="L15" i="11"/>
  <c r="L55" i="11"/>
  <c r="L51" i="11"/>
  <c r="L46" i="11"/>
  <c r="L39" i="11"/>
  <c r="L34" i="11"/>
  <c r="L28" i="11"/>
  <c r="L22" i="11"/>
  <c r="BA61" i="16"/>
  <c r="BA59" i="16"/>
  <c r="BA58" i="16"/>
  <c r="AT48" i="16"/>
  <c r="AT44" i="16"/>
  <c r="BA68" i="16"/>
  <c r="BA66" i="16"/>
  <c r="BA64" i="16"/>
  <c r="BA62" i="16"/>
  <c r="BA60" i="16"/>
  <c r="AT47" i="16"/>
  <c r="AT43" i="16"/>
  <c r="AT46" i="16"/>
  <c r="AQ18" i="16"/>
  <c r="BA63" i="16"/>
  <c r="AD49" i="10"/>
  <c r="R14" i="10"/>
  <c r="AG49" i="10"/>
  <c r="J14" i="10"/>
  <c r="F14" i="10"/>
  <c r="S13" i="10"/>
  <c r="AE48" i="10"/>
  <c r="K14" i="10"/>
  <c r="N14" i="10"/>
  <c r="AC49" i="10"/>
  <c r="O14" i="10"/>
  <c r="G14" i="10"/>
  <c r="AG48" i="10"/>
  <c r="AC48" i="10"/>
  <c r="L30" i="12"/>
  <c r="L39" i="12"/>
  <c r="L61" i="11"/>
  <c r="Q20" i="4"/>
  <c r="P14" i="10" l="1"/>
  <c r="AB49" i="10"/>
  <c r="Q14" i="10"/>
  <c r="AF48" i="10"/>
  <c r="H46" i="15"/>
  <c r="I43" i="15"/>
  <c r="AE49" i="10"/>
  <c r="S14" i="10"/>
  <c r="T14" i="10"/>
  <c r="AF49" i="10"/>
  <c r="U14" i="10"/>
  <c r="I46" i="15" l="1"/>
  <c r="J43" i="15"/>
  <c r="J46" i="15" s="1"/>
</calcChain>
</file>

<file path=xl/comments1.xml><?xml version="1.0" encoding="utf-8"?>
<comments xmlns="http://schemas.openxmlformats.org/spreadsheetml/2006/main">
  <authors>
    <author>yvonne_eu</author>
  </authors>
  <commentList>
    <comment ref="AC23" authorId="0" shapeId="0">
      <text>
        <r>
          <rPr>
            <b/>
            <sz val="8"/>
            <color indexed="81"/>
            <rFont val="Tahoma"/>
            <family val="2"/>
          </rPr>
          <t>yvonne_eu:</t>
        </r>
        <r>
          <rPr>
            <sz val="8"/>
            <color indexed="81"/>
            <rFont val="Tahoma"/>
            <family val="2"/>
          </rPr>
          <t xml:space="preserve">
health+life+annuity</t>
        </r>
      </text>
    </comment>
  </commentList>
</comments>
</file>

<file path=xl/sharedStrings.xml><?xml version="1.0" encoding="utf-8"?>
<sst xmlns="http://schemas.openxmlformats.org/spreadsheetml/2006/main" count="750" uniqueCount="278">
  <si>
    <t>Year</t>
  </si>
  <si>
    <t>Notes</t>
  </si>
  <si>
    <t>Investments</t>
  </si>
  <si>
    <t>Net foreign assets</t>
  </si>
  <si>
    <t>TOTAL ASSETS</t>
  </si>
  <si>
    <t>Deposits:</t>
  </si>
  <si>
    <t xml:space="preserve">  Savings</t>
  </si>
  <si>
    <t xml:space="preserve">  Fixed</t>
  </si>
  <si>
    <t>All deposits</t>
  </si>
  <si>
    <t>Other liabilities</t>
  </si>
  <si>
    <r>
      <t>Own funds</t>
    </r>
    <r>
      <rPr>
        <vertAlign val="superscript"/>
        <sz val="10"/>
        <rFont val="Arial"/>
        <family val="2"/>
      </rPr>
      <t>1</t>
    </r>
  </si>
  <si>
    <t>(Capital &amp; surplus)</t>
  </si>
  <si>
    <t>The difference between assets and liabilities.</t>
  </si>
  <si>
    <t>Industry</t>
  </si>
  <si>
    <t>Agriculture &amp; fishing</t>
  </si>
  <si>
    <t>Hotels &amp; restaurants</t>
  </si>
  <si>
    <t>Retail</t>
  </si>
  <si>
    <t>Wholesale</t>
  </si>
  <si>
    <t>Utilities</t>
  </si>
  <si>
    <t>Construction</t>
  </si>
  <si>
    <t>Real estate</t>
  </si>
  <si>
    <t>Personal</t>
  </si>
  <si>
    <t>Other</t>
  </si>
  <si>
    <t>Assets</t>
  </si>
  <si>
    <t>Percent change</t>
  </si>
  <si>
    <t>Liabilities</t>
  </si>
  <si>
    <t xml:space="preserve"> </t>
  </si>
  <si>
    <t>Annual average</t>
  </si>
  <si>
    <t>Total</t>
  </si>
  <si>
    <t>Years</t>
  </si>
  <si>
    <t>Currency in Circulation</t>
  </si>
  <si>
    <r>
      <t>Limited Duration</t>
    </r>
    <r>
      <rPr>
        <b/>
        <vertAlign val="superscript"/>
        <sz val="10"/>
        <rFont val="Arial"/>
        <family val="2"/>
      </rPr>
      <t>5</t>
    </r>
  </si>
  <si>
    <t>Percent Change</t>
  </si>
  <si>
    <t>All Companies registered under the Companies Law must maintain a registered office</t>
  </si>
  <si>
    <t>Ordinary Company means a local company carrying on business in the Cayman</t>
  </si>
  <si>
    <t>Islands.  In order to trade locally such a company must also obtain a licence under</t>
  </si>
  <si>
    <t xml:space="preserve">Local Companies (Control) Law.  </t>
  </si>
  <si>
    <t>Exempt Company means a company whose proposed activities are to be carried out</t>
  </si>
  <si>
    <t>mainly outside the islands (offshore).  An exempted company enjoys benefits under</t>
  </si>
  <si>
    <t>the law which are not available to other companies under the law, chief of which is an</t>
  </si>
  <si>
    <t>carrying on business within the islands.</t>
  </si>
  <si>
    <t xml:space="preserve">Local Companies (Control) Law. </t>
  </si>
  <si>
    <t xml:space="preserve">  issued during year</t>
  </si>
  <si>
    <t xml:space="preserve">  current at year-end</t>
  </si>
  <si>
    <t>N/A</t>
  </si>
  <si>
    <t>Gross assets at year-end</t>
  </si>
  <si>
    <t>ALL LICENCES</t>
  </si>
  <si>
    <t>Mutual Fund Administrators</t>
  </si>
  <si>
    <t>Gross assets at year-end (US$mil)</t>
  </si>
  <si>
    <t>2002*</t>
  </si>
  <si>
    <t>Balances with Banks &amp; Branches</t>
  </si>
  <si>
    <t>-</t>
  </si>
  <si>
    <t xml:space="preserve">  Motor</t>
  </si>
  <si>
    <t xml:space="preserve">  Property and other</t>
  </si>
  <si>
    <r>
      <t>1985</t>
    </r>
    <r>
      <rPr>
        <b/>
        <vertAlign val="superscript"/>
        <sz val="10"/>
        <rFont val="Arial"/>
        <family val="2"/>
      </rPr>
      <t>1</t>
    </r>
  </si>
  <si>
    <r>
      <t>1987</t>
    </r>
    <r>
      <rPr>
        <b/>
        <vertAlign val="superscript"/>
        <sz val="10"/>
        <rFont val="Arial"/>
        <family val="2"/>
      </rPr>
      <t>2</t>
    </r>
  </si>
  <si>
    <t>Resident</t>
  </si>
  <si>
    <t xml:space="preserve">Gross Written Premiums </t>
  </si>
  <si>
    <t>Property Statistics</t>
  </si>
  <si>
    <t>Motor Statistics</t>
  </si>
  <si>
    <t xml:space="preserve">Liability &amp; Casualty Statistics </t>
  </si>
  <si>
    <t>Marine &amp; Aviation Statistics</t>
  </si>
  <si>
    <t>Health Statistics</t>
  </si>
  <si>
    <t>Workmen's Compensation Stats</t>
  </si>
  <si>
    <t>Life Statistics</t>
  </si>
  <si>
    <t>Annuity &amp; Other Statistics</t>
  </si>
  <si>
    <t>TOTAL</t>
  </si>
  <si>
    <t>Other Assets</t>
  </si>
  <si>
    <t>Fixed Assets</t>
  </si>
  <si>
    <t>Notes &amp; Coins</t>
  </si>
  <si>
    <t xml:space="preserve">    - liability </t>
  </si>
  <si>
    <t xml:space="preserve">    - casualty</t>
  </si>
  <si>
    <t>Loans and Advances Resident &amp; Non Resident</t>
  </si>
  <si>
    <t xml:space="preserve">. . </t>
  </si>
  <si>
    <t>in the Islands.</t>
  </si>
  <si>
    <t xml:space="preserve">  Life, annuity and health</t>
  </si>
  <si>
    <t>years</t>
  </si>
  <si>
    <t>All Deposits</t>
  </si>
  <si>
    <t>Note:</t>
  </si>
  <si>
    <t xml:space="preserve">  Demand</t>
  </si>
  <si>
    <t>Trust licences permit the holders to undertake local and overseas trust business.</t>
  </si>
  <si>
    <t>Foreign Company means a corporate body incorporated outside the islands but is</t>
  </si>
  <si>
    <t>Nominee Trust licences permit the holders to act only as a nominee for its parent.</t>
  </si>
  <si>
    <t>Islands.</t>
  </si>
  <si>
    <t>Quarter 1</t>
  </si>
  <si>
    <t>Quarter 2</t>
  </si>
  <si>
    <t>Quarter 3</t>
  </si>
  <si>
    <t>Quarter 4</t>
  </si>
  <si>
    <r>
      <t xml:space="preserve">2005 </t>
    </r>
    <r>
      <rPr>
        <b/>
        <vertAlign val="superscript"/>
        <sz val="10"/>
        <rFont val="Arial"/>
        <family val="2"/>
      </rPr>
      <t>2</t>
    </r>
  </si>
  <si>
    <t>Domestic Insurance</t>
  </si>
  <si>
    <t xml:space="preserve">  Total</t>
  </si>
  <si>
    <t>Trust Only</t>
  </si>
  <si>
    <t>Nominee Trust</t>
  </si>
  <si>
    <t>Stock Exchange Listings</t>
  </si>
  <si>
    <t>Mutual Funds</t>
  </si>
  <si>
    <t>Secondary Equity</t>
  </si>
  <si>
    <t>Instruments</t>
  </si>
  <si>
    <t>"Class A" licences permit the holders to undertake both local and overseas business.</t>
  </si>
  <si>
    <t>Loans &amp; Advances:</t>
  </si>
  <si>
    <t>Credit to Businesses</t>
  </si>
  <si>
    <t>Manufacturing</t>
  </si>
  <si>
    <t>Services</t>
  </si>
  <si>
    <t>Trade and Commerce</t>
  </si>
  <si>
    <t>Other Financial Corporations</t>
  </si>
  <si>
    <t>Credit to Households</t>
  </si>
  <si>
    <t>Production</t>
  </si>
  <si>
    <t>"Class B" licences permit the holders to undertake banking and trust business overseas and limited domestic activity.</t>
  </si>
  <si>
    <t>Non-Resident</t>
  </si>
  <si>
    <t>Gross domestic premiums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</si>
  <si>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Cayman Islands Monetary Authority (CIMA) 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</si>
  <si>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Monetary Authority (CIMA)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</si>
  <si>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General Registry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</si>
  <si>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Stock Exchange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</si>
  <si>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Monetary Authority (CIMA) www.cimoney.com.ky</t>
    </r>
  </si>
  <si>
    <t>Prime lending rate for CI$ denominated loans</t>
  </si>
  <si>
    <t>Demand Deposit</t>
  </si>
  <si>
    <t>Miscellaneous</t>
  </si>
  <si>
    <t>US$ Million</t>
  </si>
  <si>
    <t>Ordinary Non-Resident</t>
  </si>
  <si>
    <t>Ordinary Resident</t>
  </si>
  <si>
    <t>Exempt</t>
  </si>
  <si>
    <t>Foreign</t>
  </si>
  <si>
    <t>the law which are not available to other companies, chief of which is an</t>
  </si>
  <si>
    <r>
      <t xml:space="preserve"> Insurance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Licences</t>
    </r>
  </si>
  <si>
    <t>Insurance Licences includes approved external and ordinary class A insurers</t>
  </si>
  <si>
    <t>Insurance Agents' licences</t>
  </si>
  <si>
    <t xml:space="preserve">Insurance Agents' licences includes: agents, sub-agents, brokers, insurance managers, offshore brokers, </t>
  </si>
  <si>
    <t>and principal representatives.</t>
  </si>
  <si>
    <t>premium volume.</t>
  </si>
  <si>
    <t>Offshore Insurance Licences</t>
  </si>
  <si>
    <t xml:space="preserve">Gross premiums written may be understated due to net premiums being quoted by some companies. </t>
  </si>
  <si>
    <t>Gross premiums written (US$mil)</t>
  </si>
  <si>
    <t xml:space="preserve">Net retained earnings includes investment income after deduction of claims paid and reserved, and all </t>
  </si>
  <si>
    <t>other expenses.</t>
  </si>
  <si>
    <t>Position at end of year, CI$ (000)</t>
  </si>
  <si>
    <t>Non Profit Organizations</t>
  </si>
  <si>
    <t>Agriculture, fishing and mining</t>
  </si>
  <si>
    <t>Transportation, storage &amp; communication</t>
  </si>
  <si>
    <t>Accommodation, food, bar &amp; entertainment services</t>
  </si>
  <si>
    <t>Education, recreational &amp; other professional services</t>
  </si>
  <si>
    <t>Wholesale &amp; retail sales trade</t>
  </si>
  <si>
    <t>Real estate agents, rental and leasing companies</t>
  </si>
  <si>
    <t>Other business activities (general business activity)</t>
  </si>
  <si>
    <t>Motor vehicles</t>
  </si>
  <si>
    <t>Education and technology</t>
  </si>
  <si>
    <t>Domestic property</t>
  </si>
  <si>
    <t>Domestic banks include local/retail and other Class A banks</t>
  </si>
  <si>
    <t>Total Assets</t>
  </si>
  <si>
    <t>Net Foreign Assets</t>
  </si>
  <si>
    <t>Net Domestic Assets</t>
  </si>
  <si>
    <t>Domestic Credit</t>
  </si>
  <si>
    <t>Broad Liquidity</t>
  </si>
  <si>
    <t>Broad money (KYD) M2</t>
  </si>
  <si>
    <t>FOREX deposits</t>
  </si>
  <si>
    <t>Financial position of Captives</t>
  </si>
  <si>
    <t xml:space="preserve">  Claims on central Government</t>
  </si>
  <si>
    <t xml:space="preserve">  Claims on other public sector</t>
  </si>
  <si>
    <t xml:space="preserve">  Claims on private sector</t>
  </si>
  <si>
    <t xml:space="preserve">  Currency in circulation</t>
  </si>
  <si>
    <t xml:space="preserve">  KYD Deposits</t>
  </si>
  <si>
    <t xml:space="preserve">  Demand Deposits</t>
  </si>
  <si>
    <t xml:space="preserve">  Time and savings deposits</t>
  </si>
  <si>
    <t xml:space="preserve">  Of which: US dollars</t>
  </si>
  <si>
    <r>
      <t xml:space="preserve">Source: </t>
    </r>
    <r>
      <rPr>
        <sz val="10"/>
        <rFont val="Arial"/>
        <family val="2"/>
      </rPr>
      <t>Cayman Islands Monetary Authority (CIMA)</t>
    </r>
  </si>
  <si>
    <t>(Percent)</t>
  </si>
  <si>
    <t>Shareholders equity</t>
  </si>
  <si>
    <t>Miscellaneous include consolidated debt, insurance, medical and travel.</t>
  </si>
  <si>
    <t>Net retained earnings (US$mil)</t>
  </si>
  <si>
    <t>written (CI$mil)</t>
  </si>
  <si>
    <t xml:space="preserve">Gross assets of offshore captives do not represent total consolidated assets, but only those related to operations in the Cayman </t>
  </si>
  <si>
    <t xml:space="preserve">  Administered</t>
  </si>
  <si>
    <t xml:space="preserve">  Licensed</t>
  </si>
  <si>
    <t xml:space="preserve">  Registered</t>
  </si>
  <si>
    <t xml:space="preserve">  Master</t>
  </si>
  <si>
    <t xml:space="preserve">Total </t>
  </si>
  <si>
    <t xml:space="preserve">  Exempted</t>
  </si>
  <si>
    <t xml:space="preserve">  Full</t>
  </si>
  <si>
    <t xml:space="preserve">  Restricted</t>
  </si>
  <si>
    <t>(US$ Billion)</t>
  </si>
  <si>
    <t xml:space="preserve">Gross domestic premiums are recorded before deduction of reinsurance and acquisition costs, and before adjusting for unearned </t>
  </si>
  <si>
    <t>Total liabilities and shareholders equity</t>
  </si>
  <si>
    <t>Other Items (net)</t>
  </si>
  <si>
    <t xml:space="preserve">  Commercial Banks</t>
  </si>
  <si>
    <t xml:space="preserve">     Monetary Authority</t>
  </si>
  <si>
    <t>exemption from any taxes which may be imposed in the islands for 20 years.</t>
  </si>
  <si>
    <t>Master fund is a mutual fund that is incorporated or established in the Islands that holds investments and conducts trading activities and has one or more regulated feeder funds.</t>
  </si>
  <si>
    <t>STATISTICAL COMPENDIUM 2013</t>
  </si>
  <si>
    <t>Insurance Linked Security</t>
  </si>
  <si>
    <t>..</t>
  </si>
  <si>
    <t>As per the insurance law 2010, Offshore Insurance Licences now refer to class B, C and D licensees</t>
  </si>
  <si>
    <t>CI$ millions</t>
  </si>
  <si>
    <t>STATISTICAL COMPENDIUM 2014</t>
  </si>
  <si>
    <t>Liabilities and Shareholders Equity  in Cayman Islands Currency of      
Local Banks, 2010 - 2014</t>
  </si>
  <si>
    <t>12.02b</t>
  </si>
  <si>
    <t>Domestic Retail Banks' Assets held in Cayman Islands Currency, 2010 -  2015</t>
  </si>
  <si>
    <t>Insurance Statistics, 2010 -  2015</t>
  </si>
  <si>
    <t>Class A (Domestic) Insurers</t>
  </si>
  <si>
    <t>Total Insurance Companies</t>
  </si>
  <si>
    <t>Total Class A</t>
  </si>
  <si>
    <t>Monetary Authority</t>
  </si>
  <si>
    <t>Commercial Banks</t>
  </si>
  <si>
    <t xml:space="preserve">Net Domestic Assets </t>
  </si>
  <si>
    <t>Central Government</t>
  </si>
  <si>
    <t xml:space="preserve">Other Public Sector </t>
  </si>
  <si>
    <t>QTR 1</t>
  </si>
  <si>
    <t>QTR 2</t>
  </si>
  <si>
    <t>QTR 3</t>
  </si>
  <si>
    <t>QTR 4</t>
  </si>
  <si>
    <t>Private Sector</t>
  </si>
  <si>
    <t>In  Thousands of Cayman Islands Dollars (CI$'000)</t>
  </si>
  <si>
    <t>Total Liabilities</t>
  </si>
  <si>
    <t>Money Supply (M1)</t>
  </si>
  <si>
    <t>Demand Deposits</t>
  </si>
  <si>
    <t>Savings Deposits</t>
  </si>
  <si>
    <t>Fixed Deposits</t>
  </si>
  <si>
    <t>Foreign Currency Deposits</t>
  </si>
  <si>
    <t>Quasi Money - Residents</t>
  </si>
  <si>
    <t>Foreign Assets</t>
  </si>
  <si>
    <t>Foreign Liabilities</t>
  </si>
  <si>
    <t>Total Investment</t>
  </si>
  <si>
    <t>Total Non-Resident Loans</t>
  </si>
  <si>
    <t>Total Non-resident Deposits</t>
  </si>
  <si>
    <t>Other Liabilities</t>
  </si>
  <si>
    <t>Foreign Assets and Laibilities</t>
  </si>
  <si>
    <t>Loans &amp; Advances to Banks &amp; Branches</t>
  </si>
  <si>
    <t>Total Deposits</t>
  </si>
  <si>
    <t>Residents</t>
  </si>
  <si>
    <t>Non-Residents</t>
  </si>
  <si>
    <t>Total Loans</t>
  </si>
  <si>
    <t>Deposits</t>
  </si>
  <si>
    <t>Loans</t>
  </si>
  <si>
    <t>Retail Debt Security</t>
  </si>
  <si>
    <t>Primary Equity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</si>
  <si>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Monetary Authority &amp;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Economics &amp; Statistics Office</t>
    </r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</si>
  <si>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Cayman Islands Monetary Authority and Economics &amp; Statistics Office</t>
    </r>
  </si>
  <si>
    <t>12.02a</t>
  </si>
  <si>
    <t>12.03b</t>
  </si>
  <si>
    <t>12.03a</t>
  </si>
  <si>
    <t>12.03c</t>
  </si>
  <si>
    <t>Asset</t>
  </si>
  <si>
    <t>Foundation</t>
  </si>
  <si>
    <t>Total Class B, C, D</t>
  </si>
  <si>
    <t>Captives (International) Insurers</t>
  </si>
  <si>
    <t>Class B     SPCs Only</t>
  </si>
  <si>
    <t>Limited  Liability</t>
  </si>
  <si>
    <t>Limited Liability Company has separate legal identity, therefore the members of the</t>
  </si>
  <si>
    <t>company cannot be held personally liable for the company's debts or liabilities.</t>
  </si>
  <si>
    <t xml:space="preserve">Foundation Company is a separate legal entity which may be formed by any person </t>
  </si>
  <si>
    <t xml:space="preserve">for any lawful object, which need not be beneficial to other persons, provided it </t>
  </si>
  <si>
    <t>falls within the wide parameters permitted by the legislation.</t>
  </si>
  <si>
    <t>Limited Liability</t>
  </si>
  <si>
    <t>Class B Excluding SPCs*</t>
  </si>
  <si>
    <t>* SPC - Special Purpose Companies</t>
  </si>
  <si>
    <t>COMPENDIUM OF STATISTICS 2020</t>
  </si>
  <si>
    <t>Specialist Debt Security</t>
  </si>
  <si>
    <t>Sovereign Debt Security</t>
  </si>
  <si>
    <t>Number of Stock Listings by Instrument, 2011 -  2020</t>
  </si>
  <si>
    <t>Stock Market Capitalization by Instrument, 2011 - 2020</t>
  </si>
  <si>
    <t>Number of Mutual Funds and Fund Administrators, 2011 - 2020</t>
  </si>
  <si>
    <t>Limited Investor*</t>
  </si>
  <si>
    <t>*Commenced operations in 2020</t>
  </si>
  <si>
    <t xml:space="preserve">                                                 Insurance Statistics, 2003 - 2020</t>
  </si>
  <si>
    <t>Number of Banks and Trust Licences, 1991 -  2020</t>
  </si>
  <si>
    <t>Class "A" Bank Only</t>
  </si>
  <si>
    <r>
      <t>Class "A" Bank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and Trust </t>
    </r>
  </si>
  <si>
    <t xml:space="preserve"> Class "B" Bank Only</t>
  </si>
  <si>
    <r>
      <t>Class "B" Bank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and Trust</t>
    </r>
  </si>
  <si>
    <t>Number of New Company Registrations by Type, 1992 - 2020</t>
  </si>
  <si>
    <t xml:space="preserve"> Number of Active Company Registrations by Type, 1992 - 2020</t>
  </si>
  <si>
    <t>Total Deposits and Total Loans of Domestic Retail Banks, 2013 - 2020</t>
  </si>
  <si>
    <t>Total Liabilities of Domestic Retail Banks, 2013 - 2020</t>
  </si>
  <si>
    <t>Total Assets of Domestic Retail Banks, 2006 - 2020</t>
  </si>
  <si>
    <t xml:space="preserve"> Average Prime Interest Lending Rate,  2011 - 2020</t>
  </si>
  <si>
    <t>External Assets and Liabilities of All Banks, 1990 - 2020</t>
  </si>
  <si>
    <t>Weighted Average Rate on KYD Loans,  2011 - 2020</t>
  </si>
  <si>
    <t>Money and Banking Survey, 2011 - 2020</t>
  </si>
  <si>
    <t>Foreign Assets and Liabilities of Domestic Retail Banks, 2013 - 2020</t>
  </si>
  <si>
    <r>
      <t>Domestic Bank Loans and Advances to Private Sector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by Industry, 2012 - 2020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</si>
</sst>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-\ #\ \-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\ &quot;cents&quot;"/>
    <numFmt numFmtId="169" formatCode="0&quot;est.&quot;"/>
    <numFmt numFmtId="170" formatCode="0.0&quot;est.&quot;"/>
    <numFmt numFmtId="171" formatCode="\(0.0\)"/>
    <numFmt numFmtId="172" formatCode="#,##0;[Red]#,##0"/>
    <numFmt numFmtId="173" formatCode="0.0_);\(0.0\)"/>
    <numFmt numFmtId="174" formatCode="_(&quot;$&quot;* #,##0_);_(&quot;$&quot;* \(#,##0\);_(&quot;$&quot;* &quot;-&quot;??_);_(@_)"/>
    <numFmt numFmtId="175" formatCode="#,##0.0"/>
    <numFmt numFmtId="176" formatCode="#,##0.000"/>
  </numFmts>
  <fonts count="4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16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Book Antiqua"/>
      <family val="1"/>
    </font>
    <font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color indexed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7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7" fontId="0" fillId="0" borderId="0" xfId="1" applyNumberFormat="1" applyFont="1"/>
    <xf numFmtId="165" fontId="0" fillId="0" borderId="0" xfId="0" applyNumberFormat="1"/>
    <xf numFmtId="0" fontId="0" fillId="0" borderId="0" xfId="0" applyBorder="1"/>
    <xf numFmtId="0" fontId="2" fillId="0" borderId="0" xfId="0" applyFont="1"/>
    <xf numFmtId="167" fontId="0" fillId="0" borderId="0" xfId="0" applyNumberFormat="1"/>
    <xf numFmtId="3" fontId="0" fillId="0" borderId="0" xfId="0" applyNumberFormat="1"/>
    <xf numFmtId="0" fontId="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0" fillId="0" borderId="0" xfId="0" applyAlignment="1"/>
    <xf numFmtId="0" fontId="10" fillId="0" borderId="2" xfId="0" applyFont="1" applyBorder="1"/>
    <xf numFmtId="9" fontId="0" fillId="0" borderId="0" xfId="4" applyFont="1"/>
    <xf numFmtId="0" fontId="10" fillId="0" borderId="0" xfId="0" applyFont="1"/>
    <xf numFmtId="0" fontId="0" fillId="0" borderId="0" xfId="0" applyFill="1"/>
    <xf numFmtId="167" fontId="0" fillId="0" borderId="0" xfId="0" applyNumberFormat="1" applyFill="1"/>
    <xf numFmtId="0" fontId="10" fillId="0" borderId="0" xfId="1" applyNumberFormat="1" applyFont="1"/>
    <xf numFmtId="0" fontId="10" fillId="0" borderId="2" xfId="0" applyFont="1" applyFill="1" applyBorder="1"/>
    <xf numFmtId="0" fontId="2" fillId="0" borderId="0" xfId="0" applyFont="1" applyBorder="1"/>
    <xf numFmtId="0" fontId="0" fillId="2" borderId="0" xfId="0" applyFill="1"/>
    <xf numFmtId="0" fontId="0" fillId="2" borderId="0" xfId="0" applyFill="1" applyAlignment="1">
      <alignment horizontal="centerContinuous"/>
    </xf>
    <xf numFmtId="166" fontId="0" fillId="0" borderId="0" xfId="0" applyNumberFormat="1"/>
    <xf numFmtId="0" fontId="0" fillId="0" borderId="0" xfId="0" applyFill="1" applyBorder="1"/>
    <xf numFmtId="0" fontId="15" fillId="0" borderId="0" xfId="0" applyFont="1"/>
    <xf numFmtId="0" fontId="15" fillId="0" borderId="0" xfId="0" applyFont="1" applyFill="1"/>
    <xf numFmtId="3" fontId="15" fillId="0" borderId="0" xfId="0" applyNumberFormat="1" applyFont="1"/>
    <xf numFmtId="0" fontId="7" fillId="0" borderId="0" xfId="0" applyFont="1" applyFill="1"/>
    <xf numFmtId="0" fontId="14" fillId="0" borderId="0" xfId="0" applyFont="1"/>
    <xf numFmtId="0" fontId="14" fillId="0" borderId="0" xfId="0" applyFont="1" applyFill="1"/>
    <xf numFmtId="167" fontId="14" fillId="0" borderId="0" xfId="1" applyNumberFormat="1" applyFont="1"/>
    <xf numFmtId="0" fontId="14" fillId="0" borderId="0" xfId="0" applyFont="1" applyAlignment="1">
      <alignment wrapText="1"/>
    </xf>
    <xf numFmtId="174" fontId="0" fillId="0" borderId="0" xfId="0" applyNumberFormat="1"/>
    <xf numFmtId="43" fontId="0" fillId="0" borderId="0" xfId="0" applyNumberFormat="1"/>
    <xf numFmtId="165" fontId="0" fillId="0" borderId="0" xfId="2" applyNumberFormat="1" applyFont="1"/>
    <xf numFmtId="165" fontId="10" fillId="0" borderId="0" xfId="0" applyNumberFormat="1" applyFont="1"/>
    <xf numFmtId="0" fontId="10" fillId="0" borderId="0" xfId="0" applyFont="1" applyBorder="1"/>
    <xf numFmtId="0" fontId="20" fillId="0" borderId="0" xfId="0" applyFont="1" applyAlignment="1">
      <alignment horizontal="right"/>
    </xf>
    <xf numFmtId="3" fontId="8" fillId="0" borderId="0" xfId="0" applyNumberFormat="1" applyFont="1"/>
    <xf numFmtId="167" fontId="2" fillId="0" borderId="0" xfId="1" applyNumberFormat="1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wrapText="1"/>
    </xf>
    <xf numFmtId="165" fontId="23" fillId="0" borderId="0" xfId="2" applyNumberFormat="1" applyFont="1"/>
    <xf numFmtId="165" fontId="23" fillId="0" borderId="0" xfId="0" applyNumberFormat="1" applyFont="1"/>
    <xf numFmtId="0" fontId="10" fillId="0" borderId="0" xfId="0" applyFont="1" applyAlignment="1">
      <alignment horizontal="right"/>
    </xf>
    <xf numFmtId="37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Fill="1" applyAlignment="1"/>
    <xf numFmtId="0" fontId="0" fillId="3" borderId="0" xfId="0" applyFill="1" applyBorder="1"/>
    <xf numFmtId="0" fontId="5" fillId="0" borderId="0" xfId="0" applyFont="1" applyAlignment="1">
      <alignment horizontal="center"/>
    </xf>
    <xf numFmtId="2" fontId="5" fillId="3" borderId="0" xfId="0" applyNumberFormat="1" applyFont="1" applyFill="1" applyAlignment="1">
      <alignment horizontal="left"/>
    </xf>
    <xf numFmtId="0" fontId="0" fillId="3" borderId="0" xfId="0" applyFill="1"/>
    <xf numFmtId="167" fontId="34" fillId="3" borderId="0" xfId="1" applyNumberFormat="1" applyFont="1" applyFill="1"/>
    <xf numFmtId="167" fontId="34" fillId="3" borderId="0" xfId="1" applyNumberFormat="1" applyFont="1" applyFill="1" applyAlignment="1">
      <alignment horizontal="right"/>
    </xf>
    <xf numFmtId="167" fontId="34" fillId="3" borderId="0" xfId="1" applyNumberFormat="1" applyFont="1" applyFill="1" applyBorder="1"/>
    <xf numFmtId="167" fontId="34" fillId="3" borderId="1" xfId="1" applyNumberFormat="1" applyFont="1" applyFill="1" applyBorder="1"/>
    <xf numFmtId="0" fontId="8" fillId="3" borderId="0" xfId="0" applyFont="1" applyFill="1"/>
    <xf numFmtId="0" fontId="2" fillId="3" borderId="0" xfId="0" applyFont="1" applyFill="1" applyAlignment="1"/>
    <xf numFmtId="0" fontId="0" fillId="3" borderId="1" xfId="0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0" fillId="3" borderId="2" xfId="0" applyFont="1" applyFill="1" applyBorder="1"/>
    <xf numFmtId="0" fontId="8" fillId="3" borderId="2" xfId="0" applyFont="1" applyFill="1" applyBorder="1"/>
    <xf numFmtId="0" fontId="0" fillId="3" borderId="0" xfId="0" applyFill="1" applyAlignment="1">
      <alignment horizontal="left" indent="1"/>
    </xf>
    <xf numFmtId="0" fontId="10" fillId="3" borderId="0" xfId="0" applyFont="1" applyFill="1" applyBorder="1"/>
    <xf numFmtId="166" fontId="34" fillId="3" borderId="0" xfId="1" applyNumberFormat="1" applyFont="1" applyFill="1"/>
    <xf numFmtId="0" fontId="0" fillId="3" borderId="0" xfId="0" applyFill="1" applyAlignment="1">
      <alignment horizontal="right"/>
    </xf>
    <xf numFmtId="167" fontId="1" fillId="3" borderId="0" xfId="1" applyNumberFormat="1" applyFont="1" applyFill="1"/>
    <xf numFmtId="0" fontId="2" fillId="3" borderId="0" xfId="0" applyFont="1" applyFill="1" applyAlignment="1">
      <alignment horizontal="left" indent="1"/>
    </xf>
    <xf numFmtId="0" fontId="1" fillId="3" borderId="0" xfId="0" applyFont="1" applyFill="1"/>
    <xf numFmtId="0" fontId="3" fillId="3" borderId="0" xfId="0" applyFont="1" applyFill="1" applyAlignment="1">
      <alignment horizontal="right" vertical="center"/>
    </xf>
    <xf numFmtId="0" fontId="2" fillId="3" borderId="0" xfId="0" applyFont="1" applyFill="1"/>
    <xf numFmtId="0" fontId="3" fillId="3" borderId="0" xfId="0" applyFont="1" applyFill="1" applyAlignment="1">
      <alignment horizontal="center" vertical="center"/>
    </xf>
    <xf numFmtId="0" fontId="1" fillId="3" borderId="2" xfId="0" applyFont="1" applyFill="1" applyBorder="1"/>
    <xf numFmtId="167" fontId="2" fillId="3" borderId="0" xfId="1" applyNumberFormat="1" applyFont="1" applyFill="1"/>
    <xf numFmtId="37" fontId="1" fillId="3" borderId="0" xfId="1" applyNumberFormat="1" applyFont="1" applyFill="1" applyBorder="1"/>
    <xf numFmtId="167" fontId="1" fillId="3" borderId="0" xfId="1" applyNumberFormat="1" applyFont="1" applyFill="1" applyBorder="1"/>
    <xf numFmtId="37" fontId="2" fillId="3" borderId="0" xfId="1" applyNumberFormat="1" applyFont="1" applyFill="1"/>
    <xf numFmtId="167" fontId="29" fillId="3" borderId="0" xfId="1" applyNumberFormat="1" applyFont="1" applyFill="1"/>
    <xf numFmtId="37" fontId="12" fillId="3" borderId="0" xfId="0" applyNumberFormat="1" applyFont="1" applyFill="1"/>
    <xf numFmtId="37" fontId="13" fillId="3" borderId="0" xfId="0" applyNumberFormat="1" applyFont="1" applyFill="1"/>
    <xf numFmtId="167" fontId="13" fillId="3" borderId="0" xfId="1" applyNumberFormat="1" applyFont="1" applyFill="1"/>
    <xf numFmtId="0" fontId="13" fillId="3" borderId="0" xfId="0" applyFont="1" applyFill="1"/>
    <xf numFmtId="37" fontId="13" fillId="3" borderId="0" xfId="1" applyNumberFormat="1" applyFont="1" applyFill="1"/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left" indent="1"/>
    </xf>
    <xf numFmtId="0" fontId="2" fillId="3" borderId="1" xfId="0" applyFont="1" applyFill="1" applyBorder="1"/>
    <xf numFmtId="0" fontId="2" fillId="3" borderId="0" xfId="0" applyFont="1" applyFill="1" applyBorder="1"/>
    <xf numFmtId="167" fontId="8" fillId="3" borderId="0" xfId="1" applyNumberFormat="1" applyFont="1" applyFill="1"/>
    <xf numFmtId="167" fontId="34" fillId="3" borderId="0" xfId="1" applyNumberFormat="1" applyFont="1" applyFill="1" applyAlignment="1">
      <alignment horizontal="center"/>
    </xf>
    <xf numFmtId="167" fontId="13" fillId="3" borderId="0" xfId="1" applyNumberFormat="1" applyFont="1" applyFill="1" applyAlignment="1">
      <alignment horizontal="center"/>
    </xf>
    <xf numFmtId="167" fontId="10" fillId="3" borderId="0" xfId="1" applyNumberFormat="1" applyFont="1" applyFill="1"/>
    <xf numFmtId="0" fontId="3" fillId="3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left" indent="2"/>
    </xf>
    <xf numFmtId="0" fontId="15" fillId="3" borderId="0" xfId="0" applyFont="1" applyFill="1"/>
    <xf numFmtId="0" fontId="0" fillId="3" borderId="0" xfId="0" applyFill="1" applyAlignment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0" fontId="27" fillId="3" borderId="0" xfId="0" applyFont="1" applyFill="1"/>
    <xf numFmtId="0" fontId="27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2"/>
    </xf>
    <xf numFmtId="165" fontId="10" fillId="3" borderId="0" xfId="0" applyNumberFormat="1" applyFont="1" applyFill="1"/>
    <xf numFmtId="0" fontId="12" fillId="3" borderId="0" xfId="0" applyFont="1" applyFill="1"/>
    <xf numFmtId="167" fontId="23" fillId="3" borderId="0" xfId="1" applyNumberFormat="1" applyFont="1" applyFill="1"/>
    <xf numFmtId="165" fontId="23" fillId="3" borderId="0" xfId="0" applyNumberFormat="1" applyFont="1" applyFill="1"/>
    <xf numFmtId="166" fontId="23" fillId="3" borderId="0" xfId="0" applyNumberFormat="1" applyFont="1" applyFill="1"/>
    <xf numFmtId="170" fontId="34" fillId="3" borderId="0" xfId="1" applyNumberFormat="1" applyFont="1" applyFill="1"/>
    <xf numFmtId="166" fontId="34" fillId="3" borderId="0" xfId="1" applyNumberFormat="1" applyFont="1" applyFill="1" applyAlignment="1">
      <alignment horizontal="right"/>
    </xf>
    <xf numFmtId="166" fontId="2" fillId="3" borderId="0" xfId="0" applyNumberFormat="1" applyFont="1" applyFill="1" applyAlignment="1">
      <alignment horizontal="right"/>
    </xf>
    <xf numFmtId="166" fontId="29" fillId="3" borderId="0" xfId="1" applyNumberFormat="1" applyFont="1" applyFill="1"/>
    <xf numFmtId="166" fontId="8" fillId="3" borderId="0" xfId="1" applyNumberFormat="1" applyFont="1" applyFill="1"/>
    <xf numFmtId="170" fontId="8" fillId="3" borderId="0" xfId="1" applyNumberFormat="1" applyFont="1" applyFill="1"/>
    <xf numFmtId="0" fontId="27" fillId="3" borderId="0" xfId="0" applyFont="1" applyFill="1" applyAlignment="1"/>
    <xf numFmtId="169" fontId="34" fillId="3" borderId="0" xfId="1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167" fontId="0" fillId="0" borderId="0" xfId="1" applyNumberFormat="1" applyFont="1" applyBorder="1"/>
    <xf numFmtId="0" fontId="5" fillId="3" borderId="0" xfId="0" applyFont="1" applyFill="1" applyAlignment="1"/>
    <xf numFmtId="0" fontId="2" fillId="0" borderId="0" xfId="0" applyFont="1" applyFill="1" applyBorder="1"/>
    <xf numFmtId="0" fontId="5" fillId="3" borderId="0" xfId="0" applyFont="1" applyFill="1" applyAlignment="1">
      <alignment horizontal="left" vertical="center" wrapText="1"/>
    </xf>
    <xf numFmtId="167" fontId="2" fillId="3" borderId="0" xfId="1" applyNumberFormat="1" applyFont="1" applyFill="1" applyAlignment="1">
      <alignment vertical="top"/>
    </xf>
    <xf numFmtId="0" fontId="36" fillId="3" borderId="1" xfId="0" applyFont="1" applyFill="1" applyBorder="1" applyAlignment="1"/>
    <xf numFmtId="0" fontId="36" fillId="3" borderId="0" xfId="0" applyFont="1" applyFill="1" applyBorder="1" applyAlignment="1"/>
    <xf numFmtId="0" fontId="37" fillId="0" borderId="0" xfId="0" applyFont="1" applyFill="1"/>
    <xf numFmtId="167" fontId="37" fillId="0" borderId="0" xfId="1" applyNumberFormat="1" applyFont="1" applyFill="1"/>
    <xf numFmtId="0" fontId="2" fillId="0" borderId="0" xfId="0" applyFont="1" applyFill="1"/>
    <xf numFmtId="2" fontId="5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1" xfId="0" applyFill="1" applyBorder="1"/>
    <xf numFmtId="0" fontId="2" fillId="0" borderId="0" xfId="0" applyFont="1" applyFill="1" applyAlignment="1"/>
    <xf numFmtId="164" fontId="0" fillId="0" borderId="0" xfId="0" applyNumberFormat="1" applyFill="1" applyAlignment="1"/>
    <xf numFmtId="0" fontId="40" fillId="0" borderId="0" xfId="0" applyFont="1" applyFill="1"/>
    <xf numFmtId="0" fontId="41" fillId="0" borderId="0" xfId="0" applyFont="1" applyFill="1"/>
    <xf numFmtId="3" fontId="40" fillId="0" borderId="0" xfId="0" applyNumberFormat="1" applyFont="1" applyFill="1" applyAlignment="1">
      <alignment horizontal="center"/>
    </xf>
    <xf numFmtId="167" fontId="40" fillId="0" borderId="0" xfId="0" applyNumberFormat="1" applyFont="1" applyFill="1"/>
    <xf numFmtId="0" fontId="41" fillId="0" borderId="0" xfId="0" applyFont="1" applyFill="1" applyBorder="1"/>
    <xf numFmtId="3" fontId="40" fillId="0" borderId="0" xfId="0" applyNumberFormat="1" applyFont="1" applyFill="1"/>
    <xf numFmtId="167" fontId="40" fillId="0" borderId="0" xfId="1" applyNumberFormat="1" applyFont="1" applyFill="1"/>
    <xf numFmtId="0" fontId="5" fillId="0" borderId="0" xfId="0" applyFont="1" applyFill="1" applyAlignment="1">
      <alignment horizontal="center"/>
    </xf>
    <xf numFmtId="0" fontId="1" fillId="0" borderId="0" xfId="0" applyFont="1" applyFill="1"/>
    <xf numFmtId="0" fontId="2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4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0" fillId="0" borderId="0" xfId="0" applyFont="1" applyFill="1" applyAlignment="1"/>
    <xf numFmtId="2" fontId="5" fillId="0" borderId="0" xfId="0" applyNumberFormat="1" applyFont="1" applyFill="1" applyAlignment="1">
      <alignment horizontal="right"/>
    </xf>
    <xf numFmtId="0" fontId="10" fillId="0" borderId="0" xfId="0" applyFont="1" applyFill="1" applyBorder="1"/>
    <xf numFmtId="0" fontId="8" fillId="0" borderId="0" xfId="0" applyFont="1" applyFill="1"/>
    <xf numFmtId="0" fontId="10" fillId="0" borderId="0" xfId="0" applyFont="1" applyFill="1"/>
    <xf numFmtId="166" fontId="0" fillId="0" borderId="0" xfId="0" applyNumberFormat="1" applyFill="1"/>
    <xf numFmtId="0" fontId="14" fillId="0" borderId="0" xfId="0" applyFont="1" applyFill="1" applyBorder="1"/>
    <xf numFmtId="167" fontId="14" fillId="0" borderId="0" xfId="1" applyNumberFormat="1" applyFont="1" applyFill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wrapText="1"/>
    </xf>
    <xf numFmtId="43" fontId="40" fillId="0" borderId="0" xfId="1" applyFont="1" applyFill="1"/>
    <xf numFmtId="0" fontId="40" fillId="0" borderId="0" xfId="0" applyFont="1" applyFill="1" applyAlignment="1"/>
    <xf numFmtId="167" fontId="0" fillId="0" borderId="0" xfId="1" applyNumberFormat="1" applyFont="1" applyFill="1"/>
    <xf numFmtId="2" fontId="0" fillId="0" borderId="0" xfId="0" applyNumberFormat="1" applyFill="1"/>
    <xf numFmtId="0" fontId="5" fillId="0" borderId="0" xfId="0" applyFont="1" applyFill="1"/>
    <xf numFmtId="0" fontId="38" fillId="0" borderId="0" xfId="0" applyFont="1" applyFill="1"/>
    <xf numFmtId="2" fontId="37" fillId="0" borderId="0" xfId="0" applyNumberFormat="1" applyFont="1" applyFill="1"/>
    <xf numFmtId="2" fontId="38" fillId="0" borderId="0" xfId="0" applyNumberFormat="1" applyFont="1" applyFill="1"/>
    <xf numFmtId="3" fontId="14" fillId="0" borderId="0" xfId="0" applyNumberFormat="1" applyFont="1" applyFill="1"/>
    <xf numFmtId="166" fontId="0" fillId="0" borderId="0" xfId="1" applyNumberFormat="1" applyFont="1" applyFill="1"/>
    <xf numFmtId="0" fontId="6" fillId="0" borderId="0" xfId="0" applyFont="1" applyFill="1"/>
    <xf numFmtId="165" fontId="14" fillId="0" borderId="0" xfId="0" applyNumberFormat="1" applyFont="1" applyFill="1"/>
    <xf numFmtId="0" fontId="3" fillId="0" borderId="0" xfId="0" applyFont="1" applyFill="1"/>
    <xf numFmtId="3" fontId="15" fillId="0" borderId="0" xfId="0" applyNumberFormat="1" applyFont="1" applyFill="1"/>
    <xf numFmtId="2" fontId="7" fillId="0" borderId="0" xfId="0" applyNumberFormat="1" applyFont="1" applyFill="1"/>
    <xf numFmtId="3" fontId="10" fillId="0" borderId="0" xfId="0" applyNumberFormat="1" applyFont="1" applyFill="1"/>
    <xf numFmtId="0" fontId="5" fillId="0" borderId="0" xfId="0" applyFont="1" applyFill="1" applyAlignment="1"/>
    <xf numFmtId="0" fontId="2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1" fillId="0" borderId="1" xfId="0" applyFont="1" applyFill="1" applyBorder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4" fillId="0" borderId="0" xfId="0" applyFont="1" applyFill="1" applyAlignment="1">
      <alignment horizontal="centerContinuous"/>
    </xf>
    <xf numFmtId="167" fontId="2" fillId="0" borderId="0" xfId="0" applyNumberFormat="1" applyFont="1" applyFill="1"/>
    <xf numFmtId="0" fontId="41" fillId="0" borderId="0" xfId="0" applyFont="1" applyFill="1" applyBorder="1" applyAlignment="1">
      <alignment horizontal="right" vertical="center" wrapText="1"/>
    </xf>
    <xf numFmtId="167" fontId="40" fillId="0" borderId="0" xfId="1" applyNumberFormat="1" applyFont="1" applyFill="1" applyBorder="1"/>
    <xf numFmtId="0" fontId="24" fillId="0" borderId="0" xfId="0" applyFont="1" applyFill="1"/>
    <xf numFmtId="3" fontId="2" fillId="0" borderId="0" xfId="0" applyNumberFormat="1" applyFont="1" applyFill="1" applyAlignment="1">
      <alignment horizontal="center"/>
    </xf>
    <xf numFmtId="3" fontId="41" fillId="0" borderId="0" xfId="0" applyNumberFormat="1" applyFont="1" applyFill="1"/>
    <xf numFmtId="167" fontId="0" fillId="3" borderId="0" xfId="0" applyNumberFormat="1" applyFill="1" applyBorder="1"/>
    <xf numFmtId="167" fontId="0" fillId="3" borderId="1" xfId="0" applyNumberFormat="1" applyFill="1" applyBorder="1"/>
    <xf numFmtId="0" fontId="1" fillId="3" borderId="3" xfId="0" applyFont="1" applyFill="1" applyBorder="1" applyAlignment="1">
      <alignment horizontal="center" wrapText="1"/>
    </xf>
    <xf numFmtId="167" fontId="0" fillId="3" borderId="8" xfId="1" applyNumberFormat="1" applyFont="1" applyFill="1" applyBorder="1"/>
    <xf numFmtId="167" fontId="0" fillId="3" borderId="15" xfId="1" applyNumberFormat="1" applyFont="1" applyFill="1" applyBorder="1"/>
    <xf numFmtId="167" fontId="0" fillId="3" borderId="9" xfId="1" applyNumberFormat="1" applyFont="1" applyFill="1" applyBorder="1"/>
    <xf numFmtId="167" fontId="0" fillId="3" borderId="1" xfId="1" applyNumberFormat="1" applyFont="1" applyFill="1" applyBorder="1"/>
    <xf numFmtId="0" fontId="2" fillId="3" borderId="10" xfId="0" applyFont="1" applyFill="1" applyBorder="1"/>
    <xf numFmtId="167" fontId="0" fillId="3" borderId="10" xfId="1" applyNumberFormat="1" applyFont="1" applyFill="1" applyBorder="1"/>
    <xf numFmtId="167" fontId="0" fillId="3" borderId="0" xfId="1" applyNumberFormat="1" applyFont="1" applyFill="1" applyBorder="1"/>
    <xf numFmtId="0" fontId="0" fillId="3" borderId="0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167" fontId="0" fillId="3" borderId="10" xfId="0" applyNumberFormat="1" applyFill="1" applyBorder="1"/>
    <xf numFmtId="0" fontId="1" fillId="3" borderId="4" xfId="0" applyFont="1" applyFill="1" applyBorder="1" applyAlignment="1">
      <alignment horizontal="center" wrapText="1"/>
    </xf>
    <xf numFmtId="0" fontId="2" fillId="3" borderId="3" xfId="0" applyFont="1" applyFill="1" applyBorder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42" fillId="0" borderId="0" xfId="0" applyFont="1" applyFill="1"/>
    <xf numFmtId="0" fontId="42" fillId="0" borderId="0" xfId="0" applyFont="1" applyFill="1" applyBorder="1"/>
    <xf numFmtId="167" fontId="42" fillId="0" borderId="0" xfId="1" applyNumberFormat="1" applyFont="1" applyFill="1"/>
    <xf numFmtId="167" fontId="42" fillId="0" borderId="0" xfId="0" applyNumberFormat="1" applyFont="1" applyFill="1"/>
    <xf numFmtId="167" fontId="42" fillId="0" borderId="0" xfId="1" applyNumberFormat="1" applyFont="1" applyFill="1" applyBorder="1"/>
    <xf numFmtId="0" fontId="42" fillId="0" borderId="0" xfId="0" quotePrefix="1" applyFont="1" applyFill="1"/>
    <xf numFmtId="0" fontId="5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8" fillId="0" borderId="2" xfId="0" applyFont="1" applyFill="1" applyBorder="1"/>
    <xf numFmtId="167" fontId="34" fillId="0" borderId="0" xfId="1" applyNumberFormat="1" applyFont="1" applyFill="1"/>
    <xf numFmtId="167" fontId="10" fillId="0" borderId="0" xfId="0" applyNumberFormat="1" applyFont="1" applyFill="1"/>
    <xf numFmtId="166" fontId="10" fillId="0" borderId="0" xfId="0" applyNumberFormat="1" applyFont="1" applyFill="1"/>
    <xf numFmtId="165" fontId="0" fillId="0" borderId="0" xfId="0" applyNumberFormat="1" applyFill="1"/>
    <xf numFmtId="171" fontId="0" fillId="0" borderId="0" xfId="0" applyNumberFormat="1" applyFill="1"/>
    <xf numFmtId="166" fontId="34" fillId="0" borderId="0" xfId="1" applyNumberFormat="1" applyFont="1" applyFill="1"/>
    <xf numFmtId="166" fontId="2" fillId="0" borderId="0" xfId="1" applyNumberFormat="1" applyFont="1" applyFill="1"/>
    <xf numFmtId="0" fontId="2" fillId="0" borderId="0" xfId="0" applyFont="1" applyFill="1" applyAlignment="1">
      <alignment horizontal="left" indent="1"/>
    </xf>
    <xf numFmtId="166" fontId="8" fillId="0" borderId="0" xfId="0" applyNumberFormat="1" applyFont="1" applyFill="1"/>
    <xf numFmtId="6" fontId="8" fillId="0" borderId="0" xfId="0" applyNumberFormat="1" applyFont="1" applyFill="1" applyAlignment="1">
      <alignment horizontal="left" indent="1"/>
    </xf>
    <xf numFmtId="3" fontId="0" fillId="0" borderId="0" xfId="0" applyNumberFormat="1" applyFill="1"/>
    <xf numFmtId="166" fontId="8" fillId="0" borderId="0" xfId="1" applyNumberFormat="1" applyFont="1" applyFill="1"/>
    <xf numFmtId="6" fontId="2" fillId="0" borderId="0" xfId="0" applyNumberFormat="1" applyFont="1" applyFill="1" applyAlignment="1">
      <alignment horizontal="left" indent="1"/>
    </xf>
    <xf numFmtId="6" fontId="0" fillId="0" borderId="0" xfId="0" applyNumberFormat="1" applyFill="1" applyAlignment="1">
      <alignment horizontal="left" indent="1"/>
    </xf>
    <xf numFmtId="0" fontId="8" fillId="0" borderId="0" xfId="0" applyFont="1" applyFill="1" applyAlignment="1"/>
    <xf numFmtId="166" fontId="8" fillId="0" borderId="0" xfId="1" applyNumberFormat="1" applyFont="1" applyFill="1" applyAlignment="1">
      <alignment horizontal="right"/>
    </xf>
    <xf numFmtId="168" fontId="8" fillId="0" borderId="0" xfId="0" applyNumberFormat="1" applyFont="1" applyFill="1" applyAlignment="1"/>
    <xf numFmtId="168" fontId="2" fillId="0" borderId="0" xfId="0" applyNumberFormat="1" applyFont="1" applyFill="1" applyAlignment="1">
      <alignment horizontal="left" indent="1"/>
    </xf>
    <xf numFmtId="167" fontId="1" fillId="0" borderId="0" xfId="1" applyNumberFormat="1" applyFont="1" applyFill="1"/>
    <xf numFmtId="166" fontId="0" fillId="0" borderId="0" xfId="0" applyNumberFormat="1" applyFill="1" applyAlignment="1">
      <alignment horizontal="right"/>
    </xf>
    <xf numFmtId="0" fontId="0" fillId="0" borderId="1" xfId="0" applyFill="1" applyBorder="1" applyAlignment="1">
      <alignment horizontal="left" indent="1"/>
    </xf>
    <xf numFmtId="167" fontId="34" fillId="0" borderId="1" xfId="1" applyNumberFormat="1" applyFont="1" applyFill="1" applyBorder="1"/>
    <xf numFmtId="37" fontId="2" fillId="0" borderId="1" xfId="1" applyNumberFormat="1" applyFont="1" applyFill="1" applyBorder="1"/>
    <xf numFmtId="3" fontId="0" fillId="0" borderId="1" xfId="0" applyNumberFormat="1" applyFill="1" applyBorder="1"/>
    <xf numFmtId="0" fontId="0" fillId="0" borderId="0" xfId="0" applyFill="1" applyBorder="1" applyAlignment="1">
      <alignment horizontal="left" indent="1"/>
    </xf>
    <xf numFmtId="167" fontId="34" fillId="0" borderId="0" xfId="1" applyNumberFormat="1" applyFont="1" applyFill="1" applyBorder="1"/>
    <xf numFmtId="37" fontId="2" fillId="0" borderId="0" xfId="1" applyNumberFormat="1" applyFont="1" applyFill="1" applyBorder="1"/>
    <xf numFmtId="3" fontId="0" fillId="0" borderId="0" xfId="0" applyNumberFormat="1" applyFill="1" applyBorder="1"/>
    <xf numFmtId="0" fontId="36" fillId="0" borderId="1" xfId="0" applyFont="1" applyFill="1" applyBorder="1" applyAlignment="1">
      <alignment horizontal="right"/>
    </xf>
    <xf numFmtId="0" fontId="0" fillId="0" borderId="2" xfId="0" applyFill="1" applyBorder="1"/>
    <xf numFmtId="0" fontId="10" fillId="0" borderId="0" xfId="0" applyFont="1" applyFill="1" applyAlignment="1">
      <alignment horizontal="left" indent="1"/>
    </xf>
    <xf numFmtId="2" fontId="10" fillId="0" borderId="0" xfId="0" applyNumberFormat="1" applyFon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 indent="1"/>
    </xf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0" fillId="0" borderId="14" xfId="0" applyFill="1" applyBorder="1"/>
    <xf numFmtId="0" fontId="1" fillId="0" borderId="3" xfId="0" applyFont="1" applyFill="1" applyBorder="1" applyAlignment="1">
      <alignment horizontal="center" wrapText="1"/>
    </xf>
    <xf numFmtId="0" fontId="0" fillId="0" borderId="6" xfId="0" applyFill="1" applyBorder="1"/>
    <xf numFmtId="167" fontId="0" fillId="0" borderId="8" xfId="1" applyNumberFormat="1" applyFont="1" applyFill="1" applyBorder="1"/>
    <xf numFmtId="167" fontId="0" fillId="0" borderId="15" xfId="1" applyNumberFormat="1" applyFont="1" applyFill="1" applyBorder="1"/>
    <xf numFmtId="0" fontId="2" fillId="0" borderId="1" xfId="0" applyFont="1" applyFill="1" applyBorder="1"/>
    <xf numFmtId="167" fontId="0" fillId="0" borderId="9" xfId="1" applyNumberFormat="1" applyFont="1" applyFill="1" applyBorder="1"/>
    <xf numFmtId="167" fontId="0" fillId="0" borderId="1" xfId="1" applyNumberFormat="1" applyFont="1" applyFill="1" applyBorder="1"/>
    <xf numFmtId="0" fontId="2" fillId="0" borderId="10" xfId="0" applyFont="1" applyFill="1" applyBorder="1"/>
    <xf numFmtId="167" fontId="0" fillId="0" borderId="10" xfId="1" applyNumberFormat="1" applyFont="1" applyFill="1" applyBorder="1"/>
    <xf numFmtId="167" fontId="0" fillId="0" borderId="0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Alignment="1">
      <alignment horizontal="right"/>
    </xf>
    <xf numFmtId="0" fontId="14" fillId="0" borderId="1" xfId="0" applyFont="1" applyFill="1" applyBorder="1"/>
    <xf numFmtId="0" fontId="11" fillId="0" borderId="0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6" fillId="0" borderId="0" xfId="0" applyFont="1" applyFill="1" applyBorder="1"/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3" fontId="8" fillId="0" borderId="0" xfId="0" applyNumberFormat="1" applyFont="1" applyFill="1" applyBorder="1"/>
    <xf numFmtId="166" fontId="8" fillId="0" borderId="0" xfId="1" applyNumberFormat="1" applyFont="1" applyFill="1" applyBorder="1"/>
    <xf numFmtId="0" fontId="8" fillId="0" borderId="0" xfId="0" applyFont="1" applyFill="1" applyAlignment="1">
      <alignment horizontal="left" indent="1"/>
    </xf>
    <xf numFmtId="43" fontId="0" fillId="0" borderId="0" xfId="0" applyNumberFormat="1" applyFill="1"/>
    <xf numFmtId="0" fontId="8" fillId="0" borderId="0" xfId="0" applyFont="1" applyFill="1" applyAlignment="1">
      <alignment horizontal="left" indent="2"/>
    </xf>
    <xf numFmtId="167" fontId="17" fillId="0" borderId="0" xfId="1" applyNumberFormat="1" applyFont="1" applyFill="1"/>
    <xf numFmtId="0" fontId="17" fillId="0" borderId="0" xfId="0" applyFont="1" applyFill="1"/>
    <xf numFmtId="165" fontId="8" fillId="0" borderId="0" xfId="1" applyNumberFormat="1" applyFont="1" applyFill="1" applyBorder="1"/>
    <xf numFmtId="0" fontId="11" fillId="0" borderId="0" xfId="0" applyFont="1" applyFill="1" applyAlignment="1">
      <alignment horizontal="left" indent="3"/>
    </xf>
    <xf numFmtId="167" fontId="11" fillId="0" borderId="0" xfId="1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Border="1"/>
    <xf numFmtId="166" fontId="11" fillId="0" borderId="0" xfId="1" applyNumberFormat="1" applyFont="1" applyFill="1" applyBorder="1"/>
    <xf numFmtId="166" fontId="2" fillId="0" borderId="0" xfId="1" applyNumberFormat="1" applyFont="1" applyFill="1" applyAlignment="1"/>
    <xf numFmtId="0" fontId="11" fillId="0" borderId="0" xfId="0" applyFont="1" applyFill="1"/>
    <xf numFmtId="167" fontId="33" fillId="0" borderId="0" xfId="1" applyNumberFormat="1" applyFont="1" applyFill="1"/>
    <xf numFmtId="3" fontId="13" fillId="0" borderId="0" xfId="0" applyNumberFormat="1" applyFont="1" applyFill="1"/>
    <xf numFmtId="166" fontId="8" fillId="0" borderId="0" xfId="1" applyNumberFormat="1" applyFont="1" applyFill="1" applyAlignment="1"/>
    <xf numFmtId="3" fontId="8" fillId="0" borderId="0" xfId="0" applyNumberFormat="1" applyFont="1" applyFill="1" applyBorder="1" applyAlignment="1">
      <alignment horizontal="right"/>
    </xf>
    <xf numFmtId="166" fontId="8" fillId="0" borderId="0" xfId="1" applyNumberFormat="1" applyFont="1" applyFill="1" applyBorder="1" applyAlignment="1"/>
    <xf numFmtId="0" fontId="11" fillId="0" borderId="0" xfId="0" applyFont="1" applyFill="1" applyAlignment="1">
      <alignment horizontal="left" indent="2"/>
    </xf>
    <xf numFmtId="167" fontId="32" fillId="0" borderId="0" xfId="1" applyNumberFormat="1" applyFont="1" applyFill="1"/>
    <xf numFmtId="0" fontId="8" fillId="0" borderId="1" xfId="0" applyFont="1" applyFill="1" applyBorder="1" applyAlignment="1">
      <alignment horizontal="left" indent="1"/>
    </xf>
    <xf numFmtId="167" fontId="10" fillId="0" borderId="0" xfId="1" applyNumberFormat="1" applyFont="1" applyFill="1"/>
    <xf numFmtId="167" fontId="10" fillId="0" borderId="1" xfId="1" applyNumberFormat="1" applyFont="1" applyFill="1" applyBorder="1"/>
    <xf numFmtId="3" fontId="8" fillId="0" borderId="1" xfId="0" applyNumberFormat="1" applyFont="1" applyFill="1" applyBorder="1"/>
    <xf numFmtId="166" fontId="8" fillId="0" borderId="1" xfId="1" applyNumberFormat="1" applyFont="1" applyFill="1" applyBorder="1"/>
    <xf numFmtId="166" fontId="8" fillId="0" borderId="1" xfId="1" applyNumberFormat="1" applyFont="1" applyFill="1" applyBorder="1" applyAlignment="1"/>
    <xf numFmtId="166" fontId="8" fillId="0" borderId="1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167" fontId="10" fillId="0" borderId="0" xfId="1" applyNumberFormat="1" applyFont="1" applyFill="1" applyBorder="1"/>
    <xf numFmtId="167" fontId="8" fillId="0" borderId="0" xfId="0" applyNumberFormat="1" applyFont="1" applyFill="1" applyBorder="1"/>
    <xf numFmtId="3" fontId="8" fillId="0" borderId="0" xfId="0" applyNumberFormat="1" applyFont="1" applyFill="1" applyBorder="1" applyAlignment="1"/>
    <xf numFmtId="0" fontId="2" fillId="0" borderId="0" xfId="0" quotePrefix="1" applyFont="1" applyFill="1"/>
    <xf numFmtId="0" fontId="21" fillId="0" borderId="0" xfId="0" applyFont="1" applyFill="1"/>
    <xf numFmtId="3" fontId="2" fillId="0" borderId="0" xfId="0" applyNumberFormat="1" applyFont="1" applyFill="1"/>
    <xf numFmtId="0" fontId="7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173" fontId="0" fillId="0" borderId="0" xfId="0" applyNumberFormat="1" applyFill="1" applyBorder="1"/>
    <xf numFmtId="171" fontId="0" fillId="0" borderId="0" xfId="0" applyNumberFormat="1" applyFill="1" applyBorder="1"/>
    <xf numFmtId="166" fontId="34" fillId="0" borderId="0" xfId="1" applyNumberFormat="1" applyFont="1" applyFill="1" applyBorder="1"/>
    <xf numFmtId="0" fontId="14" fillId="0" borderId="0" xfId="0" applyFont="1" applyFill="1" applyBorder="1" applyAlignment="1">
      <alignment horizontal="center"/>
    </xf>
    <xf numFmtId="0" fontId="25" fillId="0" borderId="0" xfId="0" applyFont="1" applyFill="1" applyBorder="1"/>
    <xf numFmtId="167" fontId="2" fillId="0" borderId="0" xfId="1" applyNumberFormat="1" applyFont="1" applyFill="1" applyBorder="1"/>
    <xf numFmtId="0" fontId="14" fillId="0" borderId="1" xfId="0" applyFont="1" applyFill="1" applyBorder="1" applyAlignment="1">
      <alignment horizontal="center"/>
    </xf>
    <xf numFmtId="167" fontId="2" fillId="0" borderId="1" xfId="1" applyNumberFormat="1" applyFont="1" applyFill="1" applyBorder="1"/>
    <xf numFmtId="173" fontId="0" fillId="0" borderId="1" xfId="0" applyNumberForma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wrapText="1"/>
    </xf>
    <xf numFmtId="167" fontId="34" fillId="0" borderId="0" xfId="1" applyNumberFormat="1" applyFont="1" applyFill="1" applyAlignment="1">
      <alignment horizontal="right"/>
    </xf>
    <xf numFmtId="167" fontId="34" fillId="0" borderId="0" xfId="1" applyNumberFormat="1" applyFont="1" applyFill="1" applyAlignment="1"/>
    <xf numFmtId="167" fontId="34" fillId="0" borderId="0" xfId="1" applyNumberFormat="1" applyFont="1" applyFill="1" applyBorder="1" applyAlignment="1">
      <alignment horizontal="right"/>
    </xf>
    <xf numFmtId="167" fontId="34" fillId="0" borderId="0" xfId="1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/>
    <xf numFmtId="0" fontId="0" fillId="0" borderId="1" xfId="0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right"/>
    </xf>
    <xf numFmtId="173" fontId="0" fillId="0" borderId="0" xfId="0" applyNumberFormat="1" applyFill="1"/>
    <xf numFmtId="167" fontId="34" fillId="0" borderId="0" xfId="1" applyNumberFormat="1" applyFont="1" applyFill="1" applyAlignment="1">
      <alignment horizontal="center"/>
    </xf>
    <xf numFmtId="167" fontId="25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0" fillId="0" borderId="0" xfId="0" applyNumberFormat="1" applyFill="1" applyBorder="1"/>
    <xf numFmtId="167" fontId="0" fillId="0" borderId="1" xfId="0" applyNumberFormat="1" applyFill="1" applyBorder="1"/>
    <xf numFmtId="0" fontId="9" fillId="0" borderId="0" xfId="0" applyFont="1" applyFill="1" applyBorder="1" applyAlignment="1">
      <alignment horizontal="center"/>
    </xf>
    <xf numFmtId="167" fontId="9" fillId="0" borderId="0" xfId="1" applyNumberFormat="1" applyFont="1" applyFill="1" applyBorder="1"/>
    <xf numFmtId="173" fontId="34" fillId="0" borderId="0" xfId="1" applyNumberFormat="1" applyFont="1" applyFill="1" applyBorder="1"/>
    <xf numFmtId="173" fontId="34" fillId="0" borderId="1" xfId="1" applyNumberFormat="1" applyFont="1" applyFill="1" applyBorder="1"/>
    <xf numFmtId="0" fontId="39" fillId="0" borderId="3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justify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justify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0" fillId="0" borderId="1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8" fillId="0" borderId="0" xfId="0" applyFont="1" applyFill="1" applyBorder="1"/>
    <xf numFmtId="172" fontId="34" fillId="0" borderId="0" xfId="1" applyNumberFormat="1" applyFont="1" applyFill="1"/>
    <xf numFmtId="0" fontId="0" fillId="0" borderId="0" xfId="0" applyNumberFormat="1" applyFill="1"/>
    <xf numFmtId="167" fontId="2" fillId="0" borderId="0" xfId="1" applyNumberFormat="1" applyFont="1" applyFill="1"/>
    <xf numFmtId="167" fontId="8" fillId="0" borderId="0" xfId="1" applyNumberFormat="1" applyFont="1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31" fillId="0" borderId="0" xfId="0" applyFont="1" applyFill="1" applyBorder="1" applyAlignment="1">
      <alignment horizontal="right"/>
    </xf>
    <xf numFmtId="167" fontId="14" fillId="0" borderId="0" xfId="1" applyNumberFormat="1" applyFont="1" applyFill="1" applyBorder="1"/>
    <xf numFmtId="3" fontId="10" fillId="0" borderId="0" xfId="0" applyNumberFormat="1" applyFont="1" applyFill="1" applyBorder="1"/>
    <xf numFmtId="3" fontId="14" fillId="0" borderId="0" xfId="0" applyNumberFormat="1" applyFont="1" applyFill="1" applyBorder="1"/>
    <xf numFmtId="3" fontId="2" fillId="0" borderId="0" xfId="0" applyNumberFormat="1" applyFont="1" applyFill="1" applyBorder="1"/>
    <xf numFmtId="0" fontId="14" fillId="0" borderId="0" xfId="0" applyNumberFormat="1" applyFont="1" applyFill="1"/>
    <xf numFmtId="3" fontId="2" fillId="0" borderId="0" xfId="0" applyNumberFormat="1" applyFont="1" applyFill="1" applyBorder="1" applyAlignment="1">
      <alignment horizontal="right"/>
    </xf>
    <xf numFmtId="167" fontId="14" fillId="0" borderId="1" xfId="1" applyNumberFormat="1" applyFont="1" applyFill="1" applyBorder="1"/>
    <xf numFmtId="3" fontId="14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14" fillId="0" borderId="0" xfId="0" applyFont="1" applyFill="1" applyBorder="1" applyAlignment="1"/>
    <xf numFmtId="175" fontId="10" fillId="0" borderId="0" xfId="0" applyNumberFormat="1" applyFont="1" applyFill="1" applyBorder="1"/>
    <xf numFmtId="175" fontId="0" fillId="0" borderId="0" xfId="0" applyNumberFormat="1" applyFill="1"/>
    <xf numFmtId="0" fontId="28" fillId="0" borderId="0" xfId="0" applyFont="1" applyFill="1" applyBorder="1"/>
    <xf numFmtId="176" fontId="28" fillId="0" borderId="0" xfId="0" applyNumberFormat="1" applyFont="1" applyFill="1" applyBorder="1"/>
    <xf numFmtId="173" fontId="28" fillId="0" borderId="0" xfId="0" applyNumberFormat="1" applyFont="1" applyFill="1" applyBorder="1"/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75" fontId="14" fillId="0" borderId="0" xfId="0" applyNumberFormat="1" applyFont="1" applyFill="1"/>
    <xf numFmtId="175" fontId="14" fillId="0" borderId="0" xfId="0" applyNumberFormat="1" applyFont="1" applyFill="1" applyBorder="1"/>
    <xf numFmtId="175" fontId="2" fillId="0" borderId="0" xfId="0" applyNumberFormat="1" applyFont="1" applyFill="1" applyBorder="1" applyAlignment="1">
      <alignment horizontal="right"/>
    </xf>
    <xf numFmtId="175" fontId="14" fillId="0" borderId="1" xfId="0" applyNumberFormat="1" applyFont="1" applyFill="1" applyBorder="1"/>
    <xf numFmtId="175" fontId="2" fillId="0" borderId="1" xfId="0" applyNumberFormat="1" applyFont="1" applyFill="1" applyBorder="1" applyAlignment="1">
      <alignment horizontal="right"/>
    </xf>
    <xf numFmtId="175" fontId="14" fillId="0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5" fillId="3" borderId="1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9" fillId="0" borderId="5" xfId="0" applyFont="1" applyFill="1" applyBorder="1" applyAlignment="1">
      <alignment vertical="center" wrapText="1"/>
    </xf>
    <xf numFmtId="0" fontId="39" fillId="0" borderId="6" xfId="0" applyFont="1" applyFill="1" applyBorder="1" applyAlignment="1">
      <alignment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Chart 12.03: Local Bank Deposits in CI Currency,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2010 - 2015</a:t>
            </a:r>
          </a:p>
        </c:rich>
      </c:tx>
      <c:layout>
        <c:manualLayout>
          <c:xMode val="edge"/>
          <c:yMode val="edge"/>
          <c:x val="0.18991623654698664"/>
          <c:y val="3.47002624671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0938575809626"/>
          <c:y val="0.201582232990107"/>
          <c:w val="0.80336200380941747"/>
          <c:h val="0.58706141732283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'.04 delete'!$AA$31</c:f>
              <c:strCache>
                <c:ptCount val="1"/>
                <c:pt idx="0">
                  <c:v>All Deposits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174605951445489E-3"/>
                  <c:y val="1.4847197728043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049710653638174E-3"/>
                  <c:y val="-4.438522107813446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4004996363406381E-3"/>
                  <c:y val="8.6745003028467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402144009107296E-3"/>
                  <c:y val="1.75573591762568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74621909977276435"/>
                  <c:y val="0.41324921135646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84369817136470204"/>
                  <c:y val="0.384858044164037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'.04 delete'!$Z$44:$Z$52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'.04 delete'!$AA$44:$AA$52</c:f>
              <c:numCache>
                <c:formatCode>_(* #,##0_);_(* \(#,##0\);_(* "-"??_);_(@_)</c:formatCode>
                <c:ptCount val="6"/>
                <c:pt idx="0">
                  <c:v>937992</c:v>
                </c:pt>
                <c:pt idx="1">
                  <c:v>882440</c:v>
                </c:pt>
                <c:pt idx="2">
                  <c:v>1059336</c:v>
                </c:pt>
                <c:pt idx="3">
                  <c:v>1010464</c:v>
                </c:pt>
                <c:pt idx="4">
                  <c:v>1113548</c:v>
                </c:pt>
                <c:pt idx="5">
                  <c:v>1596444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708816"/>
        <c:axId val="202709208"/>
      </c:barChart>
      <c:catAx>
        <c:axId val="20270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2709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709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CI$ (000)</a:t>
                </a:r>
              </a:p>
            </c:rich>
          </c:tx>
          <c:layout>
            <c:manualLayout>
              <c:xMode val="edge"/>
              <c:yMode val="edge"/>
              <c:x val="2.6890705647440002E-2"/>
              <c:y val="0.3943216636381990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2708816"/>
        <c:crosses val="autoZero"/>
        <c:crossBetween val="between"/>
      </c:valAx>
      <c:spPr>
        <a:gradFill rotWithShape="0">
          <a:gsLst>
            <a:gs pos="0">
              <a:srgbClr val="00FFFF"/>
            </a:gs>
            <a:gs pos="100000">
              <a:srgbClr val="FFFF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6.04: Resident Loans &amp; Advances by Borrower, 2010</a:t>
            </a:r>
          </a:p>
        </c:rich>
      </c:tx>
      <c:layout>
        <c:manualLayout>
          <c:xMode val="edge"/>
          <c:yMode val="edge"/>
          <c:x val="0.17615669536635023"/>
          <c:y val="1.43676963456491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0925302460957014"/>
          <c:y val="0.41379426464356772"/>
          <c:w val="0.26334542453137555"/>
          <c:h val="0.4252885497725557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"/>
          <c:dPt>
            <c:idx val="0"/>
            <c:bubble3D val="0"/>
          </c:dPt>
          <c:dPt>
            <c:idx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34986860287323895"/>
                  <c:y val="-0.156183940957223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245860622562366"/>
                  <c:y val="-0.2122308065723759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83884023842814E-2"/>
                  <c:y val="-0.1646151441101210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372695235525465"/>
                  <c:y val="-0.1013745382140712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587797590257416E-2"/>
                  <c:y val="0.1042780292633771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5172157218665427E-2"/>
                  <c:y val="0.290754737162556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550608744000458"/>
                  <c:y val="-0.1035226552793753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5761212091479218"/>
                  <c:y val="3.869342351014900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22242012207041856"/>
                  <c:y val="0.531610687215694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'.05'!$AW$59:$AW$66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'.05'!$AQ$59:$AQ$66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5E765E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5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12.04: External Assets and Liabilities, 2010 - 2020</a:t>
            </a:r>
          </a:p>
        </c:rich>
      </c:tx>
      <c:layout>
        <c:manualLayout>
          <c:xMode val="edge"/>
          <c:yMode val="edge"/>
          <c:x val="0.17641178428580004"/>
          <c:y val="5.80692015268002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21464468708559"/>
          <c:y val="0.23154437553712864"/>
          <c:w val="0.75631760167193252"/>
          <c:h val="0.5636942675159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'.06'!$P$37</c:f>
              <c:strCache>
                <c:ptCount val="1"/>
              </c:strCache>
            </c:strRef>
          </c:tx>
          <c:invertIfNegative val="0"/>
          <c:cat>
            <c:numRef>
              <c:f>'.06'!$C$105:$C$115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'.06'!$D$105:$D$115</c:f>
              <c:numCache>
                <c:formatCode>_(* #,##0_);_(* \(#,##0\);_(* "-"??_);_(@_)</c:formatCode>
                <c:ptCount val="11"/>
                <c:pt idx="0">
                  <c:v>1543735</c:v>
                </c:pt>
                <c:pt idx="1">
                  <c:v>1543735</c:v>
                </c:pt>
                <c:pt idx="2">
                  <c:v>1409321</c:v>
                </c:pt>
                <c:pt idx="3">
                  <c:v>1377200</c:v>
                </c:pt>
                <c:pt idx="4">
                  <c:v>1423029</c:v>
                </c:pt>
                <c:pt idx="5">
                  <c:v>1377000</c:v>
                </c:pt>
                <c:pt idx="6">
                  <c:v>1015623</c:v>
                </c:pt>
                <c:pt idx="7">
                  <c:v>914692</c:v>
                </c:pt>
                <c:pt idx="8">
                  <c:v>652463</c:v>
                </c:pt>
                <c:pt idx="9">
                  <c:v>639524</c:v>
                </c:pt>
                <c:pt idx="10">
                  <c:v>578970</c:v>
                </c:pt>
              </c:numCache>
            </c:numRef>
          </c:val>
        </c:ser>
        <c:ser>
          <c:idx val="1"/>
          <c:order val="1"/>
          <c:tx>
            <c:strRef>
              <c:f>'.06'!$Q$37</c:f>
              <c:strCache>
                <c:ptCount val="1"/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'.06'!$C$105:$C$115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'.06'!$F$105:$F$115</c:f>
              <c:numCache>
                <c:formatCode>_(* #,##0_);_(* \(#,##0\);_(* "-"??_);_(@_)</c:formatCode>
                <c:ptCount val="11"/>
                <c:pt idx="0">
                  <c:v>1584592</c:v>
                </c:pt>
                <c:pt idx="1">
                  <c:v>1584592</c:v>
                </c:pt>
                <c:pt idx="2">
                  <c:v>1434218</c:v>
                </c:pt>
                <c:pt idx="3">
                  <c:v>1366800</c:v>
                </c:pt>
                <c:pt idx="4">
                  <c:v>1443356</c:v>
                </c:pt>
                <c:pt idx="5">
                  <c:v>1380000</c:v>
                </c:pt>
                <c:pt idx="6">
                  <c:v>985470</c:v>
                </c:pt>
                <c:pt idx="7">
                  <c:v>874427</c:v>
                </c:pt>
                <c:pt idx="8">
                  <c:v>622186</c:v>
                </c:pt>
                <c:pt idx="9">
                  <c:v>609685</c:v>
                </c:pt>
                <c:pt idx="10">
                  <c:v>537752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202711560"/>
        <c:axId val="202713128"/>
      </c:barChart>
      <c:catAx>
        <c:axId val="202711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2713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713128"/>
        <c:scaling>
          <c:orientation val="minMax"/>
          <c:max val="2000000"/>
          <c:min val="40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US$ Million</a:t>
                </a:r>
              </a:p>
            </c:rich>
          </c:tx>
          <c:layout>
            <c:manualLayout>
              <c:xMode val="edge"/>
              <c:yMode val="edge"/>
              <c:x val="1.0009767490082452E-3"/>
              <c:y val="0.36105637237823152"/>
            </c:manualLayout>
          </c:layout>
          <c:overlay val="0"/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2711560"/>
        <c:crosses val="autoZero"/>
        <c:crossBetween val="between"/>
        <c:majorUnit val="150000"/>
        <c:minorUnit val="20000"/>
      </c:valAx>
    </c:plotArea>
    <c:legend>
      <c:legendPos val="r"/>
      <c:layout>
        <c:manualLayout>
          <c:xMode val="edge"/>
          <c:yMode val="edge"/>
          <c:x val="0.39320450483620428"/>
          <c:y val="0.87671428348468594"/>
          <c:w val="0.32847948346398959"/>
          <c:h val="6.6210193283999727E-2"/>
        </c:manualLayout>
      </c:layout>
      <c:overlay val="0"/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12.05: Number of Mutual Funds, 2011 - 2020</a:t>
            </a:r>
          </a:p>
        </c:rich>
      </c:tx>
      <c:layout>
        <c:manualLayout>
          <c:xMode val="edge"/>
          <c:yMode val="edge"/>
          <c:x val="0.21140731752432948"/>
          <c:y val="6.68264355026714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92283364958887"/>
          <c:y val="0.19875809002135603"/>
          <c:w val="0.80391469576357788"/>
          <c:h val="0.61490776474513043"/>
        </c:manualLayout>
      </c:layout>
      <c:lineChart>
        <c:grouping val="stacked"/>
        <c:varyColors val="0"/>
        <c:ser>
          <c:idx val="0"/>
          <c:order val="0"/>
          <c:tx>
            <c:strRef>
              <c:f>'.11'!$C$12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954814885017747E-3"/>
                  <c:y val="-1.1105806344342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4258269531215795E-2"/>
                  <c:y val="-5.17662112310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4890873091641275E-2"/>
                  <c:y val="-4.6700057203975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6180155425094795E-2"/>
                  <c:y val="-5.9211173263975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624920936116384E-2"/>
                  <c:y val="-5.2391711905577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6281581978324285E-2"/>
                  <c:y val="-3.9899926909452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258277538928247E-2"/>
                  <c:y val="6.065628674243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079153868521662E-2"/>
                  <c:y val="-4.4079388527062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2662820510934622E-2"/>
                  <c:y val="4.748637189582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7851897372925575E-2"/>
                  <c:y val="-4.6920806668419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'.11'!$S$10:$AC$10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'.11'!$S$18:$AC$18</c:f>
              <c:numCache>
                <c:formatCode>_(* #,##0_);_(* \(#,##0\);_(* "-"??_);_(@_)</c:formatCode>
                <c:ptCount val="10"/>
                <c:pt idx="0">
                  <c:v>9258</c:v>
                </c:pt>
                <c:pt idx="1">
                  <c:v>10841</c:v>
                </c:pt>
                <c:pt idx="2">
                  <c:v>11379</c:v>
                </c:pt>
                <c:pt idx="3">
                  <c:v>11010</c:v>
                </c:pt>
                <c:pt idx="4">
                  <c:v>10940</c:v>
                </c:pt>
                <c:pt idx="5">
                  <c:v>10586</c:v>
                </c:pt>
                <c:pt idx="6">
                  <c:v>10559</c:v>
                </c:pt>
                <c:pt idx="7">
                  <c:v>10992</c:v>
                </c:pt>
                <c:pt idx="8">
                  <c:v>10857</c:v>
                </c:pt>
                <c:pt idx="9">
                  <c:v>11896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46944"/>
        <c:axId val="208542632"/>
      </c:lineChart>
      <c:catAx>
        <c:axId val="20854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542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542632"/>
        <c:scaling>
          <c:orientation val="minMax"/>
          <c:min val="9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2.4667911061526028E-2"/>
              <c:y val="0.4751559315955070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546944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A0E0E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12.06: Stock Exchange Listings 2011 - 2020</a:t>
            </a:r>
          </a:p>
        </c:rich>
      </c:tx>
      <c:layout>
        <c:manualLayout>
          <c:xMode val="edge"/>
          <c:yMode val="edge"/>
          <c:x val="0.22500008540147232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88906386701661"/>
          <c:y val="0.18022576690807632"/>
          <c:w val="0.8700050618037829"/>
          <c:h val="0.679842670096037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0"/>
                  <c:y val="1.146131805157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'.12 &amp; .13'!$U$10:$AD$10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'.12 &amp; .13'!$U$11:$AD$11</c:f>
              <c:numCache>
                <c:formatCode>#,##0</c:formatCode>
                <c:ptCount val="10"/>
                <c:pt idx="0">
                  <c:v>1156</c:v>
                </c:pt>
                <c:pt idx="1">
                  <c:v>1157</c:v>
                </c:pt>
                <c:pt idx="2">
                  <c:v>1116</c:v>
                </c:pt>
                <c:pt idx="3">
                  <c:v>1066</c:v>
                </c:pt>
                <c:pt idx="4">
                  <c:v>1048</c:v>
                </c:pt>
                <c:pt idx="5">
                  <c:v>1022</c:v>
                </c:pt>
                <c:pt idx="6">
                  <c:v>1238</c:v>
                </c:pt>
                <c:pt idx="7">
                  <c:v>1699</c:v>
                </c:pt>
                <c:pt idx="8">
                  <c:v>2078</c:v>
                </c:pt>
                <c:pt idx="9">
                  <c:v>2336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45376"/>
        <c:axId val="208545768"/>
      </c:barChart>
      <c:catAx>
        <c:axId val="20854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545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545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5.9573789718801425E-3"/>
              <c:y val="0.455881683731513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545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1</xdr:row>
          <xdr:rowOff>66675</xdr:rowOff>
        </xdr:from>
        <xdr:to>
          <xdr:col>2</xdr:col>
          <xdr:colOff>619125</xdr:colOff>
          <xdr:row>4</xdr:row>
          <xdr:rowOff>9525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59</xdr:row>
      <xdr:rowOff>160020</xdr:rowOff>
    </xdr:from>
    <xdr:to>
      <xdr:col>10</xdr:col>
      <xdr:colOff>45720</xdr:colOff>
      <xdr:row>79</xdr:row>
      <xdr:rowOff>144780</xdr:rowOff>
    </xdr:to>
    <xdr:graphicFrame macro="">
      <xdr:nvGraphicFramePr>
        <xdr:cNvPr id="65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66675</xdr:rowOff>
        </xdr:from>
        <xdr:to>
          <xdr:col>2</xdr:col>
          <xdr:colOff>285750</xdr:colOff>
          <xdr:row>2</xdr:row>
          <xdr:rowOff>9525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1</xdr:col>
          <xdr:colOff>228600</xdr:colOff>
          <xdr:row>3</xdr:row>
          <xdr:rowOff>28575</xdr:rowOff>
        </xdr:to>
        <xdr:sp macro="" textlink="">
          <xdr:nvSpPr>
            <xdr:cNvPr id="24580" name="Object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19050</xdr:rowOff>
        </xdr:from>
        <xdr:to>
          <xdr:col>2</xdr:col>
          <xdr:colOff>209550</xdr:colOff>
          <xdr:row>2</xdr:row>
          <xdr:rowOff>133350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</xdr:row>
          <xdr:rowOff>28575</xdr:rowOff>
        </xdr:from>
        <xdr:to>
          <xdr:col>2</xdr:col>
          <xdr:colOff>114300</xdr:colOff>
          <xdr:row>2</xdr:row>
          <xdr:rowOff>152400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276225</xdr:colOff>
          <xdr:row>2</xdr:row>
          <xdr:rowOff>152400</xdr:rowOff>
        </xdr:to>
        <xdr:sp macro="" textlink="">
          <xdr:nvSpPr>
            <xdr:cNvPr id="408577" name="Object 1" hidden="1">
              <a:extLst>
                <a:ext uri="{63B3BB69-23CF-44E3-9099-C40C66FF867C}">
                  <a14:compatExt spid="_x0000_s408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38100</xdr:rowOff>
        </xdr:from>
        <xdr:to>
          <xdr:col>1</xdr:col>
          <xdr:colOff>133350</xdr:colOff>
          <xdr:row>0</xdr:row>
          <xdr:rowOff>133350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89533</xdr:colOff>
      <xdr:row>35</xdr:row>
      <xdr:rowOff>123824</xdr:rowOff>
    </xdr:from>
    <xdr:to>
      <xdr:col>23</xdr:col>
      <xdr:colOff>361949</xdr:colOff>
      <xdr:row>48</xdr:row>
      <xdr:rowOff>123824</xdr:rowOff>
    </xdr:to>
    <xdr:graphicFrame macro="">
      <xdr:nvGraphicFramePr>
        <xdr:cNvPr id="2912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0</xdr:row>
          <xdr:rowOff>38100</xdr:rowOff>
        </xdr:from>
        <xdr:to>
          <xdr:col>2</xdr:col>
          <xdr:colOff>495300</xdr:colOff>
          <xdr:row>3</xdr:row>
          <xdr:rowOff>104775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419099</xdr:colOff>
      <xdr:row>18</xdr:row>
      <xdr:rowOff>133350</xdr:rowOff>
    </xdr:from>
    <xdr:to>
      <xdr:col>26</xdr:col>
      <xdr:colOff>466725</xdr:colOff>
      <xdr:row>38</xdr:row>
      <xdr:rowOff>57150</xdr:rowOff>
    </xdr:to>
    <xdr:graphicFrame macro="">
      <xdr:nvGraphicFramePr>
        <xdr:cNvPr id="3527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0</xdr:row>
          <xdr:rowOff>104775</xdr:rowOff>
        </xdr:from>
        <xdr:to>
          <xdr:col>3</xdr:col>
          <xdr:colOff>123825</xdr:colOff>
          <xdr:row>2</xdr:row>
          <xdr:rowOff>19050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57150</xdr:rowOff>
        </xdr:from>
        <xdr:to>
          <xdr:col>3</xdr:col>
          <xdr:colOff>219075</xdr:colOff>
          <xdr:row>3</xdr:row>
          <xdr:rowOff>28575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38100</xdr:rowOff>
        </xdr:from>
        <xdr:to>
          <xdr:col>1</xdr:col>
          <xdr:colOff>438150</xdr:colOff>
          <xdr:row>4</xdr:row>
          <xdr:rowOff>0</xdr:rowOff>
        </xdr:to>
        <xdr:sp macro="" textlink="">
          <xdr:nvSpPr>
            <xdr:cNvPr id="404481" name="Object 1" hidden="1">
              <a:extLst>
                <a:ext uri="{63B3BB69-23CF-44E3-9099-C40C66FF867C}">
                  <a14:compatExt spid="_x0000_s404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</xdr:row>
          <xdr:rowOff>0</xdr:rowOff>
        </xdr:from>
        <xdr:to>
          <xdr:col>1</xdr:col>
          <xdr:colOff>57150</xdr:colOff>
          <xdr:row>4</xdr:row>
          <xdr:rowOff>95250</xdr:rowOff>
        </xdr:to>
        <xdr:sp macro="" textlink="">
          <xdr:nvSpPr>
            <xdr:cNvPr id="405505" name="Object 1" hidden="1">
              <a:extLst>
                <a:ext uri="{63B3BB69-23CF-44E3-9099-C40C66FF867C}">
                  <a14:compatExt spid="_x0000_s405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1</xdr:col>
          <xdr:colOff>47625</xdr:colOff>
          <xdr:row>4</xdr:row>
          <xdr:rowOff>95250</xdr:rowOff>
        </xdr:to>
        <xdr:sp macro="" textlink="">
          <xdr:nvSpPr>
            <xdr:cNvPr id="406529" name="Object 1" hidden="1">
              <a:extLst>
                <a:ext uri="{63B3BB69-23CF-44E3-9099-C40C66FF867C}">
                  <a14:compatExt spid="_x0000_s406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0</xdr:rowOff>
        </xdr:from>
        <xdr:to>
          <xdr:col>1</xdr:col>
          <xdr:colOff>104775</xdr:colOff>
          <xdr:row>4</xdr:row>
          <xdr:rowOff>28575</xdr:rowOff>
        </xdr:to>
        <xdr:sp macro="" textlink="">
          <xdr:nvSpPr>
            <xdr:cNvPr id="407554" name="Object 2" hidden="1">
              <a:extLst>
                <a:ext uri="{63B3BB69-23CF-44E3-9099-C40C66FF867C}">
                  <a14:compatExt spid="_x0000_s407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57150</xdr:rowOff>
        </xdr:from>
        <xdr:to>
          <xdr:col>2</xdr:col>
          <xdr:colOff>190500</xdr:colOff>
          <xdr:row>1</xdr:row>
          <xdr:rowOff>28575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33</xdr:row>
      <xdr:rowOff>91440</xdr:rowOff>
    </xdr:from>
    <xdr:to>
      <xdr:col>16</xdr:col>
      <xdr:colOff>160020</xdr:colOff>
      <xdr:row>55</xdr:row>
      <xdr:rowOff>106680</xdr:rowOff>
    </xdr:to>
    <xdr:graphicFrame macro="">
      <xdr:nvGraphicFramePr>
        <xdr:cNvPr id="250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66675</xdr:rowOff>
        </xdr:from>
        <xdr:to>
          <xdr:col>1</xdr:col>
          <xdr:colOff>247650</xdr:colOff>
          <xdr:row>1</xdr:row>
          <xdr:rowOff>47625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640080</xdr:colOff>
      <xdr:row>23</xdr:row>
      <xdr:rowOff>83820</xdr:rowOff>
    </xdr:from>
    <xdr:to>
      <xdr:col>54</xdr:col>
      <xdr:colOff>426720</xdr:colOff>
      <xdr:row>39</xdr:row>
      <xdr:rowOff>182880</xdr:rowOff>
    </xdr:to>
    <xdr:graphicFrame macro="">
      <xdr:nvGraphicFramePr>
        <xdr:cNvPr id="39669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352425</xdr:colOff>
          <xdr:row>0</xdr:row>
          <xdr:rowOff>66675</xdr:rowOff>
        </xdr:from>
        <xdr:to>
          <xdr:col>2</xdr:col>
          <xdr:colOff>1219200</xdr:colOff>
          <xdr:row>2</xdr:row>
          <xdr:rowOff>104775</xdr:rowOff>
        </xdr:to>
        <xdr:sp macro="" textlink="">
          <xdr:nvSpPr>
            <xdr:cNvPr id="396289" name="Object 1" hidden="1">
              <a:extLst>
                <a:ext uri="{63B3BB69-23CF-44E3-9099-C40C66FF867C}">
                  <a14:compatExt spid="_x0000_s39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11%20Economic%20Performance\Economic%20Reports\Annual\AER%202014\money%20&amp;%20banking%20Master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$m"/>
      <sheetName val="Loans CI$m"/>
      <sheetName val="Money Master"/>
      <sheetName val="Qtr Charts"/>
      <sheetName val="Charts"/>
      <sheetName val="interest rates"/>
      <sheetName val="US$"/>
      <sheetName val="CI$th"/>
      <sheetName val="Loans US$"/>
      <sheetName val="Loans CI$th"/>
      <sheetName val="US$ Loans"/>
      <sheetName val="CI$ Loans"/>
      <sheetName val="Charts adjusted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6">
          <cell r="AM46">
            <v>460587.5</v>
          </cell>
        </row>
        <row r="49">
          <cell r="AM49">
            <v>276093.33333333337</v>
          </cell>
        </row>
        <row r="50">
          <cell r="AM50">
            <v>376867.5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7030A0"/>
  </sheetPr>
  <dimension ref="B3:AN68"/>
  <sheetViews>
    <sheetView tabSelected="1" zoomScaleNormal="100" zoomScaleSheetLayoutView="100" workbookViewId="0">
      <selection activeCell="AI4" sqref="AI4"/>
    </sheetView>
  </sheetViews>
  <sheetFormatPr defaultRowHeight="12.75" x14ac:dyDescent="0.2"/>
  <cols>
    <col min="1" max="1" width="2.7109375" style="17" customWidth="1"/>
    <col min="2" max="2" width="7.85546875" style="17" customWidth="1"/>
    <col min="3" max="3" width="31" style="17" customWidth="1"/>
    <col min="4" max="5" width="8.5703125" style="17" hidden="1" customWidth="1"/>
    <col min="6" max="12" width="8.7109375" style="17" hidden="1" customWidth="1"/>
    <col min="13" max="14" width="8.42578125" style="17" hidden="1" customWidth="1"/>
    <col min="15" max="16" width="8.7109375" style="17" hidden="1" customWidth="1"/>
    <col min="17" max="17" width="9.42578125" style="17" hidden="1" customWidth="1"/>
    <col min="18" max="18" width="8.5703125" style="17" hidden="1" customWidth="1"/>
    <col min="19" max="23" width="12.7109375" style="17" hidden="1" customWidth="1"/>
    <col min="24" max="24" width="12" style="17" hidden="1" customWidth="1"/>
    <col min="25" max="25" width="12.28515625" style="17" customWidth="1"/>
    <col min="26" max="26" width="10.42578125" style="17" customWidth="1"/>
    <col min="27" max="27" width="10" style="17" customWidth="1"/>
    <col min="28" max="28" width="11.28515625" style="17" bestFit="1" customWidth="1"/>
    <col min="29" max="29" width="9.140625" style="17"/>
    <col min="30" max="30" width="11.28515625" style="17" bestFit="1" customWidth="1"/>
    <col min="31" max="36" width="9.140625" style="17"/>
    <col min="37" max="37" width="13" style="17" customWidth="1"/>
    <col min="38" max="38" width="10.28515625" style="17" bestFit="1" customWidth="1"/>
    <col min="39" max="16384" width="9.140625" style="17"/>
  </cols>
  <sheetData>
    <row r="3" spans="2:34" x14ac:dyDescent="0.2">
      <c r="AD3" s="144" t="s">
        <v>253</v>
      </c>
    </row>
    <row r="5" spans="2:34" ht="15" x14ac:dyDescent="0.25">
      <c r="B5" s="145"/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7"/>
      <c r="R5" s="147"/>
      <c r="S5" s="148"/>
      <c r="T5" s="146"/>
      <c r="U5" s="145"/>
      <c r="V5" s="145"/>
      <c r="W5" s="145"/>
      <c r="X5" s="145"/>
      <c r="Y5" s="145"/>
      <c r="Z5" s="145"/>
      <c r="AA5" s="149"/>
      <c r="AB5" s="149"/>
      <c r="AC5" s="149"/>
      <c r="AD5" s="149"/>
    </row>
    <row r="8" spans="2:34" ht="15.75" x14ac:dyDescent="0.25">
      <c r="B8" s="150">
        <v>12.01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399" t="s">
        <v>275</v>
      </c>
      <c r="Z8" s="399"/>
      <c r="AA8" s="399"/>
      <c r="AB8" s="399"/>
      <c r="AC8" s="399"/>
      <c r="AD8" s="399"/>
      <c r="AE8" s="399"/>
      <c r="AF8" s="399"/>
      <c r="AG8" s="399"/>
      <c r="AH8" s="399"/>
    </row>
    <row r="10" spans="2:34" x14ac:dyDescent="0.2">
      <c r="Z10" s="216"/>
    </row>
    <row r="11" spans="2:34" x14ac:dyDescent="0.2">
      <c r="C11" s="217"/>
      <c r="D11" s="217">
        <v>1990</v>
      </c>
      <c r="E11" s="217">
        <v>1991</v>
      </c>
      <c r="F11" s="217">
        <v>1992</v>
      </c>
      <c r="G11" s="217">
        <v>1993</v>
      </c>
      <c r="H11" s="218">
        <v>1994</v>
      </c>
      <c r="I11" s="218">
        <v>1995</v>
      </c>
      <c r="J11" s="218">
        <v>1996</v>
      </c>
      <c r="K11" s="218">
        <v>1997</v>
      </c>
      <c r="L11" s="218">
        <v>1998</v>
      </c>
      <c r="M11" s="218">
        <v>1999</v>
      </c>
      <c r="N11" s="219">
        <v>2000</v>
      </c>
      <c r="O11" s="20">
        <v>2001</v>
      </c>
      <c r="P11" s="20">
        <v>2002</v>
      </c>
      <c r="Q11" s="20">
        <v>2003</v>
      </c>
      <c r="R11" s="20">
        <v>2004</v>
      </c>
      <c r="S11" s="20">
        <v>2005</v>
      </c>
      <c r="T11" s="20">
        <v>2006</v>
      </c>
      <c r="U11" s="20">
        <v>2007</v>
      </c>
      <c r="V11" s="20">
        <v>2008</v>
      </c>
      <c r="W11" s="20">
        <v>2009</v>
      </c>
      <c r="X11" s="20">
        <v>2010</v>
      </c>
      <c r="Y11" s="220">
        <v>2011</v>
      </c>
      <c r="Z11" s="220">
        <v>2012</v>
      </c>
      <c r="AA11" s="220">
        <v>2013</v>
      </c>
      <c r="AB11" s="220">
        <v>2014</v>
      </c>
      <c r="AC11" s="220">
        <v>2015</v>
      </c>
      <c r="AD11" s="220">
        <v>2016</v>
      </c>
      <c r="AE11" s="220">
        <v>2017</v>
      </c>
      <c r="AF11" s="220">
        <v>2018</v>
      </c>
      <c r="AG11" s="220">
        <v>2019</v>
      </c>
      <c r="AH11" s="220">
        <v>2020</v>
      </c>
    </row>
    <row r="12" spans="2:34" x14ac:dyDescent="0.2">
      <c r="B12" s="25"/>
      <c r="C12" s="25"/>
      <c r="D12" s="221"/>
      <c r="E12" s="221"/>
      <c r="F12" s="221"/>
      <c r="G12" s="221"/>
      <c r="H12" s="221"/>
      <c r="I12" s="221"/>
      <c r="J12" s="221"/>
      <c r="K12" s="221"/>
    </row>
    <row r="13" spans="2:34" s="153" customFormat="1" x14ac:dyDescent="0.2">
      <c r="B13" s="151"/>
      <c r="C13" s="152" t="s">
        <v>147</v>
      </c>
      <c r="D13" s="222">
        <f t="shared" ref="D13:K13" si="0">+D30+D32</f>
        <v>58248</v>
      </c>
      <c r="E13" s="222">
        <f t="shared" si="0"/>
        <v>61128</v>
      </c>
      <c r="F13" s="222">
        <f t="shared" si="0"/>
        <v>65868</v>
      </c>
      <c r="G13" s="222">
        <f t="shared" si="0"/>
        <v>73995</v>
      </c>
      <c r="H13" s="222">
        <f t="shared" si="0"/>
        <v>84187.828609999997</v>
      </c>
      <c r="I13" s="222">
        <f t="shared" si="0"/>
        <v>91326.400740000012</v>
      </c>
      <c r="J13" s="222">
        <f t="shared" si="0"/>
        <v>113547</v>
      </c>
      <c r="K13" s="222">
        <f t="shared" si="0"/>
        <v>116264</v>
      </c>
      <c r="L13" s="222">
        <f t="shared" ref="L13:T13" si="1">+L30+L32</f>
        <v>146884</v>
      </c>
      <c r="M13" s="222">
        <f t="shared" si="1"/>
        <v>180389</v>
      </c>
      <c r="N13" s="222">
        <f t="shared" si="1"/>
        <v>183663</v>
      </c>
      <c r="O13" s="222">
        <f t="shared" si="1"/>
        <v>203582.663</v>
      </c>
      <c r="P13" s="222">
        <f t="shared" si="1"/>
        <v>206116.75899999999</v>
      </c>
      <c r="Q13" s="222">
        <f>+Q30+Q32</f>
        <v>403629.8</v>
      </c>
      <c r="R13" s="222">
        <f>+R30+R32</f>
        <v>701959.45</v>
      </c>
      <c r="S13" s="222">
        <f t="shared" si="1"/>
        <v>379755.52399999998</v>
      </c>
      <c r="T13" s="222">
        <f t="shared" si="1"/>
        <v>335732.79099999997</v>
      </c>
      <c r="U13" s="222">
        <f>+U30+U32</f>
        <v>321845.10333333333</v>
      </c>
      <c r="V13" s="223">
        <v>5568.2</v>
      </c>
      <c r="W13" s="223">
        <v>5949.6</v>
      </c>
      <c r="X13" s="223">
        <v>5307.4</v>
      </c>
      <c r="Y13" s="223">
        <v>4752.8999999999996</v>
      </c>
      <c r="Z13" s="223">
        <v>5248.7</v>
      </c>
      <c r="AA13" s="223">
        <v>5888.4</v>
      </c>
      <c r="AB13" s="223">
        <v>4932.3999999999996</v>
      </c>
      <c r="AC13" s="223">
        <v>5898</v>
      </c>
      <c r="AD13" s="223">
        <v>6155.285374000001</v>
      </c>
      <c r="AE13" s="223">
        <v>7285.8559344766672</v>
      </c>
      <c r="AF13" s="223">
        <v>7374.4889771666676</v>
      </c>
      <c r="AG13" s="223">
        <v>7566.191774783334</v>
      </c>
      <c r="AH13" s="223">
        <v>8189.7757487250019</v>
      </c>
    </row>
    <row r="14" spans="2:34" x14ac:dyDescent="0.2">
      <c r="C14" s="152" t="s">
        <v>148</v>
      </c>
      <c r="D14" s="225">
        <f>(D13/#REF!-1)*100</f>
        <v>2.1805104815367127</v>
      </c>
      <c r="E14" s="224">
        <f t="shared" ref="E14:T14" si="2">(E13/D13-1)*100</f>
        <v>4.9443757725587067</v>
      </c>
      <c r="F14" s="224">
        <f t="shared" si="2"/>
        <v>7.7542206517471568</v>
      </c>
      <c r="G14" s="224">
        <f t="shared" si="2"/>
        <v>12.338312989615584</v>
      </c>
      <c r="H14" s="226">
        <f t="shared" si="2"/>
        <v>13.775023461044666</v>
      </c>
      <c r="I14" s="226">
        <f t="shared" si="2"/>
        <v>8.4793398854238653</v>
      </c>
      <c r="J14" s="226">
        <f t="shared" si="2"/>
        <v>24.330970102786065</v>
      </c>
      <c r="K14" s="226">
        <f t="shared" si="2"/>
        <v>2.3928417307370609</v>
      </c>
      <c r="L14" s="226">
        <f t="shared" si="2"/>
        <v>26.336613225073968</v>
      </c>
      <c r="M14" s="226">
        <f t="shared" si="2"/>
        <v>22.810517142779329</v>
      </c>
      <c r="N14" s="226">
        <f t="shared" si="2"/>
        <v>1.8149665445232221</v>
      </c>
      <c r="O14" s="226">
        <f t="shared" si="2"/>
        <v>10.845768064335214</v>
      </c>
      <c r="P14" s="226">
        <f t="shared" si="2"/>
        <v>1.2447503940942184</v>
      </c>
      <c r="Q14" s="227">
        <f t="shared" si="2"/>
        <v>95.825803762031796</v>
      </c>
      <c r="R14" s="227">
        <f t="shared" si="2"/>
        <v>73.911700771350368</v>
      </c>
      <c r="S14" s="227">
        <f t="shared" si="2"/>
        <v>-45.900646540195446</v>
      </c>
      <c r="T14" s="227">
        <f t="shared" si="2"/>
        <v>-11.592387791046333</v>
      </c>
      <c r="U14" s="227">
        <f>(U13/T13-1)*100</f>
        <v>-4.1365300140332799</v>
      </c>
      <c r="V14" s="227">
        <v>3579.1</v>
      </c>
      <c r="W14" s="227">
        <v>3981.1</v>
      </c>
      <c r="X14" s="227">
        <v>3056.5</v>
      </c>
      <c r="Y14" s="154">
        <v>2446.6999999999998</v>
      </c>
      <c r="Z14" s="154">
        <v>2801.9</v>
      </c>
      <c r="AA14" s="154">
        <v>3249.3</v>
      </c>
      <c r="AB14" s="154">
        <v>2281.6999999999998</v>
      </c>
      <c r="AC14" s="154">
        <v>3795.4</v>
      </c>
      <c r="AD14" s="154">
        <v>3882.9874646666667</v>
      </c>
      <c r="AE14" s="154">
        <v>4954.5477863333326</v>
      </c>
      <c r="AF14" s="154">
        <v>5305.0666216666668</v>
      </c>
      <c r="AG14" s="154">
        <v>5330.4999631999999</v>
      </c>
      <c r="AH14" s="154">
        <v>5889.7552644816687</v>
      </c>
    </row>
    <row r="15" spans="2:34" x14ac:dyDescent="0.2">
      <c r="B15" s="25"/>
      <c r="C15" s="123" t="s">
        <v>183</v>
      </c>
      <c r="V15" s="154">
        <v>101.6</v>
      </c>
      <c r="W15" s="154">
        <v>100.4</v>
      </c>
      <c r="X15" s="154">
        <v>89.4</v>
      </c>
      <c r="Y15" s="154">
        <v>94.6</v>
      </c>
      <c r="Z15" s="154">
        <v>99.1</v>
      </c>
      <c r="AA15" s="154">
        <v>101.5</v>
      </c>
      <c r="AB15" s="154">
        <v>100.2</v>
      </c>
      <c r="AC15" s="154">
        <v>110.8</v>
      </c>
      <c r="AD15" s="154">
        <v>122.210798</v>
      </c>
      <c r="AE15" s="154">
        <v>126.617673</v>
      </c>
      <c r="AF15" s="154">
        <v>135.807455</v>
      </c>
      <c r="AG15" s="154">
        <v>153.763303175</v>
      </c>
      <c r="AH15" s="154">
        <v>181.49762875666667</v>
      </c>
    </row>
    <row r="16" spans="2:34" x14ac:dyDescent="0.2">
      <c r="B16" s="25"/>
      <c r="C16" s="228" t="s">
        <v>182</v>
      </c>
      <c r="V16" s="154">
        <v>3477.5</v>
      </c>
      <c r="W16" s="154">
        <v>2880.7</v>
      </c>
      <c r="X16" s="154">
        <v>2967.1</v>
      </c>
      <c r="Y16" s="154">
        <v>2352.1</v>
      </c>
      <c r="Z16" s="154">
        <v>2702.7</v>
      </c>
      <c r="AA16" s="154">
        <v>3147.8</v>
      </c>
      <c r="AB16" s="154">
        <v>2181.5</v>
      </c>
      <c r="AC16" s="154">
        <v>3684.6</v>
      </c>
      <c r="AD16" s="154">
        <v>3760.7766666666666</v>
      </c>
      <c r="AE16" s="154">
        <v>4827.9333333333325</v>
      </c>
      <c r="AF16" s="154">
        <v>5169.2591666666667</v>
      </c>
      <c r="AG16" s="154">
        <v>5176.7366600249998</v>
      </c>
      <c r="AH16" s="154">
        <v>5708.2576357250018</v>
      </c>
    </row>
    <row r="17" spans="2:34" x14ac:dyDescent="0.2">
      <c r="B17" s="25"/>
      <c r="C17" s="152" t="s">
        <v>149</v>
      </c>
      <c r="V17" s="229">
        <v>1989.1</v>
      </c>
      <c r="W17" s="229">
        <v>1968.5</v>
      </c>
      <c r="X17" s="229">
        <v>2250.9</v>
      </c>
      <c r="Y17" s="229">
        <v>2306.9</v>
      </c>
      <c r="Z17" s="229">
        <v>2446.8000000000002</v>
      </c>
      <c r="AA17" s="229">
        <v>2639.1</v>
      </c>
      <c r="AB17" s="229">
        <v>2650.7</v>
      </c>
      <c r="AC17" s="229">
        <v>2102.5</v>
      </c>
      <c r="AD17" s="229">
        <v>2272.2979093333329</v>
      </c>
      <c r="AE17" s="229">
        <v>2331.3081481433346</v>
      </c>
      <c r="AF17" s="229">
        <v>2069.4223555000003</v>
      </c>
      <c r="AG17" s="229">
        <v>2235.6918115833341</v>
      </c>
      <c r="AH17" s="229">
        <v>2300.0204842433332</v>
      </c>
    </row>
    <row r="18" spans="2:34" x14ac:dyDescent="0.2">
      <c r="B18" s="25"/>
      <c r="C18" s="230" t="s">
        <v>150</v>
      </c>
      <c r="D18" s="221">
        <v>11405</v>
      </c>
      <c r="E18" s="221">
        <v>9827</v>
      </c>
      <c r="F18" s="221">
        <v>10884</v>
      </c>
      <c r="G18" s="221">
        <v>7987</v>
      </c>
      <c r="H18" s="221">
        <v>12150.2</v>
      </c>
      <c r="I18" s="221">
        <v>10847.5</v>
      </c>
      <c r="J18" s="221">
        <v>13564</v>
      </c>
      <c r="K18" s="231">
        <v>15288</v>
      </c>
      <c r="L18" s="221">
        <v>18423</v>
      </c>
      <c r="M18" s="221">
        <v>23810</v>
      </c>
      <c r="N18" s="221">
        <v>19621</v>
      </c>
      <c r="O18" s="221">
        <v>19248.099999999999</v>
      </c>
      <c r="P18" s="221">
        <v>19143</v>
      </c>
      <c r="Q18" s="221">
        <v>19444.8</v>
      </c>
      <c r="R18" s="221">
        <v>31293</v>
      </c>
      <c r="S18" s="221">
        <v>29245</v>
      </c>
      <c r="T18" s="221">
        <f>30168400/1000</f>
        <v>30168.400000000001</v>
      </c>
      <c r="U18" s="221">
        <v>30498.9</v>
      </c>
      <c r="V18" s="232">
        <v>2763.1</v>
      </c>
      <c r="W18" s="232">
        <v>2836.8</v>
      </c>
      <c r="X18" s="232">
        <v>3008.1</v>
      </c>
      <c r="Y18" s="232">
        <v>3106.6</v>
      </c>
      <c r="Z18" s="232">
        <v>3050.6</v>
      </c>
      <c r="AA18" s="232">
        <v>2974.7</v>
      </c>
      <c r="AB18" s="232">
        <v>2971.2</v>
      </c>
      <c r="AC18" s="232">
        <v>2981.2</v>
      </c>
      <c r="AD18" s="232">
        <v>3083.8850000000002</v>
      </c>
      <c r="AE18" s="232">
        <v>3188.5433333333331</v>
      </c>
      <c r="AF18" s="232">
        <v>3066.3250000000003</v>
      </c>
      <c r="AG18" s="232">
        <v>3300.8906300000003</v>
      </c>
      <c r="AH18" s="232">
        <v>3432.9350895083335</v>
      </c>
    </row>
    <row r="19" spans="2:34" x14ac:dyDescent="0.2">
      <c r="B19" s="25"/>
      <c r="C19" s="233" t="s">
        <v>155</v>
      </c>
      <c r="D19" s="221">
        <v>1118</v>
      </c>
      <c r="E19" s="221">
        <v>1973</v>
      </c>
      <c r="F19" s="221">
        <v>1303</v>
      </c>
      <c r="G19" s="221">
        <v>5056</v>
      </c>
      <c r="H19" s="221">
        <v>3085.26</v>
      </c>
      <c r="I19" s="221">
        <v>6290.03</v>
      </c>
      <c r="J19" s="221">
        <v>6186</v>
      </c>
      <c r="K19" s="231">
        <v>6001</v>
      </c>
      <c r="L19" s="221">
        <f>5826+51</f>
        <v>5877</v>
      </c>
      <c r="M19" s="221">
        <f>7533+54</f>
        <v>7587</v>
      </c>
      <c r="N19" s="221">
        <f>7102+55</f>
        <v>7157</v>
      </c>
      <c r="O19" s="221">
        <v>6477.6</v>
      </c>
      <c r="P19" s="221">
        <v>7273.6</v>
      </c>
      <c r="Q19" s="221">
        <v>9424</v>
      </c>
      <c r="R19" s="231">
        <v>13264.45</v>
      </c>
      <c r="S19" s="221">
        <f>(15371350+79200)/1000</f>
        <v>15450.55</v>
      </c>
      <c r="T19" s="221">
        <f>(17394650+85720)/1000</f>
        <v>17480.37</v>
      </c>
      <c r="U19" s="221">
        <f>(19243250+95120)/1000</f>
        <v>19338.37</v>
      </c>
      <c r="V19" s="226">
        <v>271.7</v>
      </c>
      <c r="W19" s="226">
        <v>172.1</v>
      </c>
      <c r="X19" s="226">
        <v>219</v>
      </c>
      <c r="Y19" s="226">
        <v>293.7</v>
      </c>
      <c r="Z19" s="226">
        <v>278.3</v>
      </c>
      <c r="AA19" s="226">
        <v>262.7</v>
      </c>
      <c r="AB19" s="226">
        <v>243.6</v>
      </c>
      <c r="AC19" s="226">
        <v>226.5</v>
      </c>
      <c r="AD19" s="226">
        <v>210.95083333333335</v>
      </c>
      <c r="AE19" s="226">
        <v>182.83416666666668</v>
      </c>
      <c r="AF19" s="226">
        <v>157.1575</v>
      </c>
      <c r="AG19" s="226">
        <v>230.9288066666667</v>
      </c>
      <c r="AH19" s="226">
        <v>198.58131250000002</v>
      </c>
    </row>
    <row r="20" spans="2:34" x14ac:dyDescent="0.2">
      <c r="B20" s="25"/>
      <c r="C20" s="233" t="s">
        <v>156</v>
      </c>
      <c r="D20" s="221">
        <v>4684</v>
      </c>
      <c r="E20" s="221">
        <v>4142</v>
      </c>
      <c r="F20" s="221">
        <v>4359</v>
      </c>
      <c r="G20" s="221">
        <v>5386</v>
      </c>
      <c r="H20" s="221">
        <v>5289.8</v>
      </c>
      <c r="I20" s="221">
        <v>5456.8249999999998</v>
      </c>
      <c r="J20" s="221">
        <v>6414</v>
      </c>
      <c r="K20" s="231">
        <v>6843</v>
      </c>
      <c r="L20" s="221">
        <v>7194</v>
      </c>
      <c r="M20" s="221">
        <v>9722</v>
      </c>
      <c r="N20" s="221">
        <v>8814</v>
      </c>
      <c r="O20" s="221">
        <v>9450.6</v>
      </c>
      <c r="P20" s="221">
        <v>8673</v>
      </c>
      <c r="Q20" s="221">
        <v>7945</v>
      </c>
      <c r="R20" s="221">
        <v>11152</v>
      </c>
      <c r="S20" s="221">
        <v>10116</v>
      </c>
      <c r="T20" s="221">
        <f>9976300/1000</f>
        <v>9976.2999999999993</v>
      </c>
      <c r="U20" s="221">
        <v>10474.049999999999</v>
      </c>
      <c r="V20" s="226">
        <v>54</v>
      </c>
      <c r="W20" s="226">
        <v>66.5</v>
      </c>
      <c r="X20" s="226">
        <v>59.8</v>
      </c>
      <c r="Y20" s="226">
        <v>88.6</v>
      </c>
      <c r="Z20" s="226">
        <v>80.400000000000006</v>
      </c>
      <c r="AA20" s="226">
        <v>75.2</v>
      </c>
      <c r="AB20" s="226">
        <v>70.099999999999994</v>
      </c>
      <c r="AC20" s="226">
        <v>70</v>
      </c>
      <c r="AD20" s="226">
        <v>63.962499999999999</v>
      </c>
      <c r="AE20" s="226">
        <v>55.531666666666673</v>
      </c>
      <c r="AF20" s="226">
        <v>50.06666666666667</v>
      </c>
      <c r="AG20" s="226">
        <v>45.054499999999997</v>
      </c>
      <c r="AH20" s="226">
        <v>38.730596666666671</v>
      </c>
    </row>
    <row r="21" spans="2:34" x14ac:dyDescent="0.2">
      <c r="B21" s="25"/>
      <c r="C21" s="233" t="s">
        <v>157</v>
      </c>
      <c r="D21" s="221">
        <v>1708</v>
      </c>
      <c r="E21" s="221">
        <v>1726</v>
      </c>
      <c r="F21" s="221">
        <v>1818</v>
      </c>
      <c r="G21" s="221">
        <v>1960</v>
      </c>
      <c r="H21" s="221">
        <v>2291.2199999999998</v>
      </c>
      <c r="I21" s="221">
        <v>2511.6999999999998</v>
      </c>
      <c r="J21" s="221">
        <v>2770</v>
      </c>
      <c r="K21" s="231">
        <v>2920</v>
      </c>
      <c r="L21" s="221">
        <v>3029</v>
      </c>
      <c r="M21" s="221">
        <v>3832</v>
      </c>
      <c r="N21" s="221">
        <v>3613</v>
      </c>
      <c r="O21" s="221">
        <v>3739.27</v>
      </c>
      <c r="P21" s="221">
        <v>3585.98</v>
      </c>
      <c r="Q21" s="221">
        <v>3723</v>
      </c>
      <c r="R21" s="221">
        <v>3439</v>
      </c>
      <c r="S21" s="221">
        <v>3668</v>
      </c>
      <c r="T21" s="221">
        <f>3896260/1000</f>
        <v>3896.26</v>
      </c>
      <c r="U21" s="221">
        <v>4094.58</v>
      </c>
      <c r="V21" s="226">
        <v>2437.5</v>
      </c>
      <c r="W21" s="226">
        <v>2598.1</v>
      </c>
      <c r="X21" s="226">
        <v>2729.3</v>
      </c>
      <c r="Y21" s="226">
        <v>2724.3</v>
      </c>
      <c r="Z21" s="226">
        <v>2691.9</v>
      </c>
      <c r="AA21" s="226">
        <v>2636.8</v>
      </c>
      <c r="AB21" s="226">
        <v>2657.5</v>
      </c>
      <c r="AC21" s="226">
        <v>2684.7</v>
      </c>
      <c r="AD21" s="226">
        <v>2808.9716666666668</v>
      </c>
      <c r="AE21" s="226">
        <v>2950.1774999999998</v>
      </c>
      <c r="AF21" s="226">
        <v>2859.1008333333334</v>
      </c>
      <c r="AG21" s="226">
        <v>3024.9073233333338</v>
      </c>
      <c r="AH21" s="226">
        <v>3195.6231803416667</v>
      </c>
    </row>
    <row r="22" spans="2:34" x14ac:dyDescent="0.2">
      <c r="B22" s="25"/>
      <c r="C22" s="230" t="s">
        <v>181</v>
      </c>
      <c r="D22" s="221">
        <v>1030</v>
      </c>
      <c r="E22" s="221">
        <v>1118</v>
      </c>
      <c r="F22" s="221">
        <v>1147</v>
      </c>
      <c r="G22" s="221">
        <v>1309</v>
      </c>
      <c r="H22" s="221">
        <v>1380.0650000000001</v>
      </c>
      <c r="I22" s="221">
        <v>1539.91</v>
      </c>
      <c r="J22" s="221">
        <v>1656</v>
      </c>
      <c r="K22" s="231">
        <v>1875</v>
      </c>
      <c r="L22" s="221">
        <v>1954</v>
      </c>
      <c r="M22" s="221">
        <v>2247</v>
      </c>
      <c r="N22" s="221">
        <v>2345</v>
      </c>
      <c r="O22" s="221">
        <v>2335.71</v>
      </c>
      <c r="P22" s="221">
        <v>2452.5650000000001</v>
      </c>
      <c r="Q22" s="221">
        <v>2521</v>
      </c>
      <c r="R22" s="221">
        <v>2741</v>
      </c>
      <c r="S22" s="221">
        <v>2894</v>
      </c>
      <c r="T22" s="221">
        <f>3099410/1000</f>
        <v>3099.41</v>
      </c>
      <c r="U22" s="221">
        <v>3285.9949999999999</v>
      </c>
      <c r="V22" s="226">
        <v>-774</v>
      </c>
      <c r="W22" s="226">
        <v>-868.3</v>
      </c>
      <c r="X22" s="226">
        <v>-757.2</v>
      </c>
      <c r="Y22" s="226">
        <v>-800.4</v>
      </c>
      <c r="Z22" s="227">
        <v>-603.79999999999995</v>
      </c>
      <c r="AA22" s="227">
        <v>-335.6</v>
      </c>
      <c r="AB22" s="227">
        <v>-320.5</v>
      </c>
      <c r="AC22" s="227">
        <v>-878.7</v>
      </c>
      <c r="AD22" s="227">
        <v>-947.16959066666652</v>
      </c>
      <c r="AE22" s="227">
        <v>-1085.125071856665</v>
      </c>
      <c r="AF22" s="227">
        <v>-996.90264449999995</v>
      </c>
      <c r="AG22" s="227">
        <v>-1065.1988184166664</v>
      </c>
      <c r="AH22" s="227">
        <v>-1132.9146052650003</v>
      </c>
    </row>
    <row r="23" spans="2:34" x14ac:dyDescent="0.2">
      <c r="B23" s="25"/>
      <c r="C23" s="234"/>
      <c r="D23" s="221">
        <v>1656</v>
      </c>
      <c r="E23" s="221">
        <v>1806</v>
      </c>
      <c r="F23" s="221">
        <v>1946</v>
      </c>
      <c r="G23" s="221">
        <v>2193</v>
      </c>
      <c r="H23" s="221">
        <v>2431.54</v>
      </c>
      <c r="I23" s="221">
        <v>2631.5610000000001</v>
      </c>
      <c r="J23" s="221">
        <v>2900</v>
      </c>
      <c r="K23" s="231">
        <v>3198</v>
      </c>
      <c r="L23" s="221">
        <v>3441</v>
      </c>
      <c r="M23" s="221">
        <v>3789</v>
      </c>
      <c r="N23" s="221">
        <v>4011</v>
      </c>
      <c r="O23" s="221">
        <v>4210.0020000000004</v>
      </c>
      <c r="P23" s="221">
        <v>4386</v>
      </c>
      <c r="Q23" s="221">
        <v>4683</v>
      </c>
      <c r="R23" s="221">
        <v>4938</v>
      </c>
      <c r="S23" s="221">
        <v>5200.9740000000002</v>
      </c>
      <c r="T23" s="221">
        <f>5484635/1000</f>
        <v>5484.6350000000002</v>
      </c>
      <c r="U23" s="221">
        <v>5753.4589999999998</v>
      </c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</row>
    <row r="24" spans="2:34" x14ac:dyDescent="0.2">
      <c r="B24" s="25"/>
      <c r="C24" s="235" t="s">
        <v>151</v>
      </c>
      <c r="D24" s="221"/>
      <c r="E24" s="221"/>
      <c r="F24" s="221"/>
      <c r="G24" s="221"/>
      <c r="H24" s="221"/>
      <c r="I24" s="221"/>
      <c r="J24" s="221"/>
      <c r="L24" s="221"/>
      <c r="M24" s="221"/>
      <c r="N24" s="221"/>
      <c r="T24" s="221"/>
      <c r="V24" s="229">
        <v>5568.2</v>
      </c>
      <c r="W24" s="229">
        <v>5949.6</v>
      </c>
      <c r="X24" s="236">
        <v>5307.4</v>
      </c>
      <c r="Y24" s="229">
        <v>4752.8999999999996</v>
      </c>
      <c r="Z24" s="229">
        <v>5248.7</v>
      </c>
      <c r="AA24" s="229">
        <v>5888.4</v>
      </c>
      <c r="AB24" s="229">
        <v>4932.3999999999996</v>
      </c>
      <c r="AC24" s="229">
        <v>5898</v>
      </c>
      <c r="AD24" s="229">
        <v>6155.285374</v>
      </c>
      <c r="AE24" s="229">
        <v>7285.8559344766672</v>
      </c>
      <c r="AF24" s="229">
        <v>7374.4889771666667</v>
      </c>
      <c r="AG24" s="229">
        <v>7566.191774783334</v>
      </c>
      <c r="AH24" s="229">
        <v>8189.7757487250001</v>
      </c>
    </row>
    <row r="25" spans="2:34" x14ac:dyDescent="0.2">
      <c r="B25" s="25"/>
      <c r="C25" s="237" t="s">
        <v>152</v>
      </c>
      <c r="D25" s="221">
        <v>1236</v>
      </c>
      <c r="E25" s="221">
        <v>1363</v>
      </c>
      <c r="F25" s="221">
        <v>1487</v>
      </c>
      <c r="G25" s="221">
        <v>1646</v>
      </c>
      <c r="H25" s="221">
        <v>1844.9682499999999</v>
      </c>
      <c r="I25" s="221">
        <v>2039.9737500000001</v>
      </c>
      <c r="J25" s="221">
        <v>2222</v>
      </c>
      <c r="K25" s="231">
        <v>2433</v>
      </c>
      <c r="L25" s="221">
        <v>2676</v>
      </c>
      <c r="M25" s="221">
        <v>2929</v>
      </c>
      <c r="N25" s="221">
        <v>3099</v>
      </c>
      <c r="O25" s="221">
        <v>3227.78</v>
      </c>
      <c r="P25" s="221">
        <v>3349.45</v>
      </c>
      <c r="Q25" s="221">
        <v>3627</v>
      </c>
      <c r="R25" s="221">
        <v>3908</v>
      </c>
      <c r="S25" s="221">
        <v>4217</v>
      </c>
      <c r="T25" s="221">
        <f>4474914/1000</f>
        <v>4474.9139999999998</v>
      </c>
      <c r="U25" s="221">
        <v>4706.8670000000002</v>
      </c>
      <c r="V25" s="232">
        <v>1017.7</v>
      </c>
      <c r="W25" s="232">
        <v>962.2</v>
      </c>
      <c r="X25" s="232">
        <v>981.1</v>
      </c>
      <c r="Y25" s="232">
        <v>935.9</v>
      </c>
      <c r="Z25" s="232">
        <v>1110.4000000000001</v>
      </c>
      <c r="AA25" s="232">
        <v>1106.5999999999999</v>
      </c>
      <c r="AB25" s="232">
        <v>1209.0999999999999</v>
      </c>
      <c r="AC25" s="232">
        <v>1394.5</v>
      </c>
      <c r="AD25" s="232">
        <v>1534.3262073333333</v>
      </c>
      <c r="AE25" s="232">
        <v>1649.8442678100002</v>
      </c>
      <c r="AF25" s="232">
        <v>1737.5665846666668</v>
      </c>
      <c r="AG25" s="232">
        <v>1953.2387681416667</v>
      </c>
      <c r="AH25" s="232">
        <v>2317.0859768750001</v>
      </c>
    </row>
    <row r="26" spans="2:34" ht="14.25" customHeight="1" x14ac:dyDescent="0.2">
      <c r="B26" s="25"/>
      <c r="C26" s="238" t="s">
        <v>158</v>
      </c>
      <c r="D26" s="221">
        <v>664</v>
      </c>
      <c r="E26" s="221">
        <v>732</v>
      </c>
      <c r="F26" s="221">
        <v>791</v>
      </c>
      <c r="G26" s="221">
        <v>856</v>
      </c>
      <c r="H26" s="221">
        <v>946.18330000000003</v>
      </c>
      <c r="I26" s="221">
        <v>1025.3483000000001</v>
      </c>
      <c r="J26" s="221">
        <v>1109</v>
      </c>
      <c r="K26" s="231">
        <v>1203</v>
      </c>
      <c r="L26" s="221">
        <v>1307</v>
      </c>
      <c r="M26" s="221">
        <v>1399</v>
      </c>
      <c r="N26" s="221">
        <v>1478</v>
      </c>
      <c r="O26" s="221">
        <v>1531.145</v>
      </c>
      <c r="P26" s="221">
        <v>1576.8779999999999</v>
      </c>
      <c r="Q26" s="221">
        <v>1673</v>
      </c>
      <c r="R26" s="221">
        <v>1805</v>
      </c>
      <c r="S26" s="221">
        <v>1960</v>
      </c>
      <c r="T26" s="221">
        <f>2089627/1000</f>
        <v>2089.627</v>
      </c>
      <c r="U26" s="221">
        <v>2183.241</v>
      </c>
      <c r="V26" s="226">
        <v>83.6</v>
      </c>
      <c r="W26" s="226">
        <v>87.5</v>
      </c>
      <c r="X26" s="226">
        <v>85.2</v>
      </c>
      <c r="Y26" s="226">
        <v>89.7</v>
      </c>
      <c r="Z26" s="226">
        <v>86.9</v>
      </c>
      <c r="AA26" s="226">
        <v>96.2</v>
      </c>
      <c r="AB26" s="226">
        <v>95.5</v>
      </c>
      <c r="AC26" s="226">
        <v>107.7</v>
      </c>
      <c r="AD26" s="226">
        <v>115.635374</v>
      </c>
      <c r="AE26" s="226">
        <v>119.544141</v>
      </c>
      <c r="AF26" s="226">
        <v>126.608943</v>
      </c>
      <c r="AG26" s="226">
        <v>140.36873600000001</v>
      </c>
      <c r="AH26" s="226">
        <v>164.42634099999998</v>
      </c>
    </row>
    <row r="27" spans="2:34" x14ac:dyDescent="0.2">
      <c r="B27" s="25"/>
      <c r="C27" s="238" t="s">
        <v>159</v>
      </c>
      <c r="D27" s="221">
        <v>234</v>
      </c>
      <c r="E27" s="221">
        <v>264</v>
      </c>
      <c r="F27" s="221">
        <v>289</v>
      </c>
      <c r="G27" s="221">
        <v>316</v>
      </c>
      <c r="H27" s="221">
        <v>348.565</v>
      </c>
      <c r="I27" s="221">
        <v>384.16784999999999</v>
      </c>
      <c r="J27" s="221">
        <v>419</v>
      </c>
      <c r="K27" s="17">
        <v>458</v>
      </c>
      <c r="L27" s="221">
        <v>496</v>
      </c>
      <c r="M27" s="221">
        <v>543</v>
      </c>
      <c r="N27" s="221">
        <v>580</v>
      </c>
      <c r="O27" s="221">
        <v>615.75900000000001</v>
      </c>
      <c r="P27" s="221">
        <v>650.08600000000001</v>
      </c>
      <c r="Q27" s="221">
        <v>699</v>
      </c>
      <c r="R27" s="221">
        <v>741</v>
      </c>
      <c r="S27" s="221">
        <v>804</v>
      </c>
      <c r="T27" s="221">
        <f>853171/1000</f>
        <v>853.17100000000005</v>
      </c>
      <c r="U27" s="221">
        <v>887.42899999999997</v>
      </c>
      <c r="V27" s="226">
        <v>934.1</v>
      </c>
      <c r="W27" s="226">
        <v>874.6</v>
      </c>
      <c r="X27" s="226">
        <v>895.9</v>
      </c>
      <c r="Y27" s="226">
        <v>846.1</v>
      </c>
      <c r="Z27" s="226">
        <v>1023.4</v>
      </c>
      <c r="AA27" s="226">
        <v>1010.5</v>
      </c>
      <c r="AB27" s="226">
        <v>1113.5999999999999</v>
      </c>
      <c r="AC27" s="226">
        <v>1286.8</v>
      </c>
      <c r="AD27" s="226">
        <v>1418.6908333333333</v>
      </c>
      <c r="AE27" s="226">
        <v>1530.3001268100002</v>
      </c>
      <c r="AF27" s="226">
        <v>1610.9576416666669</v>
      </c>
      <c r="AG27" s="226">
        <v>1812.8700321416668</v>
      </c>
      <c r="AH27" s="226">
        <v>2152.6596358750003</v>
      </c>
    </row>
    <row r="28" spans="2:34" x14ac:dyDescent="0.2">
      <c r="B28" s="25"/>
      <c r="C28" s="238" t="s">
        <v>160</v>
      </c>
      <c r="D28" s="221">
        <v>168</v>
      </c>
      <c r="E28" s="221">
        <v>188</v>
      </c>
      <c r="F28" s="221">
        <v>207</v>
      </c>
      <c r="G28" s="221">
        <v>233</v>
      </c>
      <c r="H28" s="221">
        <v>257.02706000000001</v>
      </c>
      <c r="I28" s="221">
        <v>278.38484</v>
      </c>
      <c r="J28" s="221">
        <v>303</v>
      </c>
      <c r="K28" s="17">
        <v>329</v>
      </c>
      <c r="L28" s="221">
        <v>358</v>
      </c>
      <c r="M28" s="221">
        <v>399</v>
      </c>
      <c r="N28" s="221">
        <v>431</v>
      </c>
      <c r="O28" s="221">
        <v>461.697</v>
      </c>
      <c r="P28" s="221">
        <v>489.2</v>
      </c>
      <c r="Q28" s="221">
        <v>526</v>
      </c>
      <c r="R28" s="221">
        <v>556</v>
      </c>
      <c r="S28" s="221">
        <v>612</v>
      </c>
      <c r="T28" s="221">
        <f>665704/1000</f>
        <v>665.70399999999995</v>
      </c>
      <c r="U28" s="221">
        <v>708.87900000000002</v>
      </c>
      <c r="V28" s="226">
        <v>250.7</v>
      </c>
      <c r="W28" s="226">
        <v>254.5</v>
      </c>
      <c r="X28" s="226">
        <v>298.89999999999998</v>
      </c>
      <c r="Y28" s="226">
        <v>237.7</v>
      </c>
      <c r="Z28" s="226">
        <v>337</v>
      </c>
      <c r="AA28" s="226">
        <v>403.1</v>
      </c>
      <c r="AB28" s="226">
        <v>460.6</v>
      </c>
      <c r="AC28" s="226">
        <v>505.3</v>
      </c>
      <c r="AD28" s="226">
        <v>595.92499999999995</v>
      </c>
      <c r="AE28" s="226">
        <v>648.04929347666666</v>
      </c>
      <c r="AF28" s="226">
        <v>643.40583333333336</v>
      </c>
      <c r="AG28" s="226">
        <v>775.34864452500005</v>
      </c>
      <c r="AH28" s="226">
        <v>937.35993120833348</v>
      </c>
    </row>
    <row r="29" spans="2:34" x14ac:dyDescent="0.2">
      <c r="B29" s="25"/>
      <c r="C29" s="228" t="s">
        <v>161</v>
      </c>
      <c r="D29" s="221"/>
      <c r="E29" s="221"/>
      <c r="F29" s="221"/>
      <c r="G29" s="221"/>
      <c r="H29" s="221"/>
      <c r="I29" s="221"/>
      <c r="J29" s="221"/>
      <c r="T29" s="239"/>
      <c r="V29" s="154">
        <v>683.3</v>
      </c>
      <c r="W29" s="154">
        <v>620.1</v>
      </c>
      <c r="X29" s="240">
        <v>597</v>
      </c>
      <c r="Y29" s="154">
        <v>608.4</v>
      </c>
      <c r="Z29" s="154">
        <v>686.4</v>
      </c>
      <c r="AA29" s="154">
        <v>607.4</v>
      </c>
      <c r="AB29" s="154">
        <v>653</v>
      </c>
      <c r="AC29" s="154">
        <v>781.6</v>
      </c>
      <c r="AD29" s="154">
        <v>822.76583333333338</v>
      </c>
      <c r="AE29" s="154">
        <v>882.2508333333335</v>
      </c>
      <c r="AF29" s="154">
        <v>967.55180833333338</v>
      </c>
      <c r="AG29" s="154">
        <v>1037.5213876166667</v>
      </c>
      <c r="AH29" s="154">
        <v>1215.2997046666667</v>
      </c>
    </row>
    <row r="30" spans="2:34" s="31" customFormat="1" x14ac:dyDescent="0.2">
      <c r="B30" s="155"/>
      <c r="C30" s="235" t="s">
        <v>153</v>
      </c>
      <c r="D30" s="156">
        <f>SUM(D18:D28)</f>
        <v>23903</v>
      </c>
      <c r="E30" s="156">
        <f t="shared" ref="E30:P30" si="3">SUM(E18:E28)</f>
        <v>23139</v>
      </c>
      <c r="F30" s="156">
        <f t="shared" si="3"/>
        <v>24231</v>
      </c>
      <c r="G30" s="156">
        <f t="shared" si="3"/>
        <v>26942</v>
      </c>
      <c r="H30" s="156">
        <f t="shared" si="3"/>
        <v>30024.828610000004</v>
      </c>
      <c r="I30" s="156">
        <f t="shared" si="3"/>
        <v>33005.400740000005</v>
      </c>
      <c r="J30" s="156">
        <f t="shared" si="3"/>
        <v>37543</v>
      </c>
      <c r="K30" s="156">
        <f t="shared" si="3"/>
        <v>40548</v>
      </c>
      <c r="L30" s="156">
        <f t="shared" si="3"/>
        <v>44755</v>
      </c>
      <c r="M30" s="156">
        <f t="shared" si="3"/>
        <v>56257</v>
      </c>
      <c r="N30" s="156">
        <f t="shared" si="3"/>
        <v>51149</v>
      </c>
      <c r="O30" s="156">
        <f t="shared" si="3"/>
        <v>51297.662999999986</v>
      </c>
      <c r="P30" s="156">
        <f t="shared" si="3"/>
        <v>51579.758999999998</v>
      </c>
      <c r="Q30" s="156">
        <f>SUM(Q18:Q28)</f>
        <v>54265.8</v>
      </c>
      <c r="R30" s="156">
        <f>SUM(R18:R29)</f>
        <v>73837.45</v>
      </c>
      <c r="S30" s="156">
        <f>SUM(S18:S28)</f>
        <v>74167.524000000005</v>
      </c>
      <c r="T30" s="156">
        <f>SUM(T18:T28)</f>
        <v>78188.790999999997</v>
      </c>
      <c r="U30" s="156">
        <f>SUM(U18:U28)</f>
        <v>81931.77</v>
      </c>
      <c r="V30" s="232">
        <v>4550.5</v>
      </c>
      <c r="W30" s="232">
        <v>4987.5</v>
      </c>
      <c r="X30" s="232">
        <v>4326.2</v>
      </c>
      <c r="Y30" s="232">
        <v>3817</v>
      </c>
      <c r="Z30" s="232">
        <v>4138.3</v>
      </c>
      <c r="AA30" s="232">
        <v>4781.8</v>
      </c>
      <c r="AB30" s="232">
        <v>3723.3</v>
      </c>
      <c r="AC30" s="232">
        <v>4503.3999999999996</v>
      </c>
      <c r="AD30" s="232">
        <v>4620.9591666666665</v>
      </c>
      <c r="AE30" s="232">
        <v>5636.0116666666672</v>
      </c>
      <c r="AF30" s="232">
        <v>5636.9223924999997</v>
      </c>
      <c r="AG30" s="232">
        <v>5612.9530066416673</v>
      </c>
      <c r="AH30" s="232">
        <v>5872.6897718500004</v>
      </c>
    </row>
    <row r="31" spans="2:34" x14ac:dyDescent="0.2">
      <c r="B31" s="25"/>
      <c r="C31" s="228" t="s">
        <v>162</v>
      </c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154">
        <v>4218.7</v>
      </c>
      <c r="W31" s="154">
        <v>4316</v>
      </c>
      <c r="X31" s="154">
        <v>3632.8</v>
      </c>
      <c r="Y31" s="154">
        <v>3251.6</v>
      </c>
      <c r="Z31" s="154">
        <v>3517.9</v>
      </c>
      <c r="AA31" s="154">
        <v>4219.3</v>
      </c>
      <c r="AB31" s="154">
        <v>3382</v>
      </c>
      <c r="AC31" s="154">
        <v>4158.6000000000004</v>
      </c>
      <c r="AD31" s="154">
        <v>4216.5524999999998</v>
      </c>
      <c r="AE31" s="154">
        <v>5235.3933333333343</v>
      </c>
      <c r="AF31" s="154">
        <v>5261.9582258333339</v>
      </c>
      <c r="AG31" s="154">
        <v>5203.1423801833344</v>
      </c>
      <c r="AH31" s="154">
        <v>5332.581013883334</v>
      </c>
    </row>
    <row r="32" spans="2:34" x14ac:dyDescent="0.2">
      <c r="B32" s="25"/>
      <c r="C32" s="241"/>
      <c r="D32" s="242">
        <v>34345</v>
      </c>
      <c r="E32" s="242">
        <v>37989</v>
      </c>
      <c r="F32" s="242">
        <v>41637</v>
      </c>
      <c r="G32" s="242">
        <v>47053</v>
      </c>
      <c r="H32" s="242">
        <v>54163</v>
      </c>
      <c r="I32" s="242">
        <v>58321</v>
      </c>
      <c r="J32" s="242">
        <v>76004</v>
      </c>
      <c r="K32" s="242">
        <v>75716</v>
      </c>
      <c r="L32" s="242">
        <v>102129</v>
      </c>
      <c r="M32" s="242">
        <v>124132</v>
      </c>
      <c r="N32" s="242">
        <v>132514</v>
      </c>
      <c r="O32" s="242">
        <v>152285</v>
      </c>
      <c r="P32" s="242">
        <v>154537</v>
      </c>
      <c r="Q32" s="243">
        <v>349364</v>
      </c>
      <c r="R32" s="243">
        <v>628122</v>
      </c>
      <c r="S32" s="243">
        <v>305588</v>
      </c>
      <c r="T32" s="243">
        <v>257544</v>
      </c>
      <c r="U32" s="243">
        <f>+(309205-21309)/1.2</f>
        <v>239913.33333333334</v>
      </c>
      <c r="V32" s="244"/>
      <c r="W32" s="244"/>
      <c r="X32" s="244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</row>
    <row r="33" spans="2:40" x14ac:dyDescent="0.2">
      <c r="B33" s="25"/>
      <c r="C33" s="245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7"/>
      <c r="R33" s="247"/>
      <c r="S33" s="247"/>
      <c r="T33" s="247"/>
      <c r="U33" s="247"/>
      <c r="V33" s="248"/>
      <c r="W33" s="248"/>
      <c r="X33" s="248"/>
      <c r="Y33" s="246"/>
      <c r="Z33" s="246"/>
    </row>
    <row r="34" spans="2:40" x14ac:dyDescent="0.2">
      <c r="C34" s="152" t="s">
        <v>163</v>
      </c>
    </row>
    <row r="35" spans="2:40" ht="14.25" x14ac:dyDescent="0.2">
      <c r="B35" s="157"/>
      <c r="C35" s="130"/>
    </row>
    <row r="36" spans="2:40" ht="14.25" x14ac:dyDescent="0.2">
      <c r="B36" s="158"/>
    </row>
    <row r="37" spans="2:40" ht="14.25" x14ac:dyDescent="0.2">
      <c r="B37" s="158"/>
    </row>
    <row r="38" spans="2:40" ht="14.25" x14ac:dyDescent="0.2">
      <c r="B38" s="158"/>
    </row>
    <row r="40" spans="2:40" ht="14.25" x14ac:dyDescent="0.2">
      <c r="B40" s="158"/>
    </row>
    <row r="41" spans="2:40" ht="14.25" x14ac:dyDescent="0.2">
      <c r="B41" s="158"/>
    </row>
    <row r="42" spans="2:40" ht="14.25" x14ac:dyDescent="0.2">
      <c r="B42" s="158"/>
    </row>
    <row r="43" spans="2:40" ht="14.25" x14ac:dyDescent="0.2">
      <c r="B43" s="158"/>
    </row>
    <row r="44" spans="2:40" ht="14.25" x14ac:dyDescent="0.2">
      <c r="B44" s="158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</row>
    <row r="45" spans="2:40" ht="14.25" x14ac:dyDescent="0.2">
      <c r="B45" s="158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</row>
    <row r="46" spans="2:40" ht="14.25" x14ac:dyDescent="0.2">
      <c r="B46" s="158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</row>
    <row r="47" spans="2:40" ht="14.25" x14ac:dyDescent="0.2">
      <c r="B47" s="158"/>
      <c r="Z47" s="136"/>
      <c r="AA47" s="136" t="s">
        <v>29</v>
      </c>
      <c r="AB47" s="136">
        <v>2002</v>
      </c>
      <c r="AC47" s="136">
        <v>2003</v>
      </c>
      <c r="AD47" s="136">
        <v>2004</v>
      </c>
      <c r="AE47" s="136">
        <v>2005</v>
      </c>
      <c r="AF47" s="136">
        <v>2006</v>
      </c>
      <c r="AG47" s="136">
        <v>2007</v>
      </c>
      <c r="AH47" s="136">
        <v>2008</v>
      </c>
      <c r="AI47" s="136">
        <v>2009</v>
      </c>
      <c r="AJ47" s="136">
        <v>2010</v>
      </c>
      <c r="AK47" s="136">
        <v>2011</v>
      </c>
      <c r="AL47" s="136">
        <v>2012</v>
      </c>
      <c r="AM47" s="136"/>
      <c r="AN47" s="136"/>
    </row>
    <row r="48" spans="2:40" ht="31.5" customHeight="1" x14ac:dyDescent="0.2">
      <c r="B48" s="158"/>
      <c r="Z48" s="136"/>
      <c r="AA48" s="159" t="s">
        <v>30</v>
      </c>
      <c r="AB48" s="139">
        <f t="shared" ref="AB48:AG48" si="4">P30</f>
        <v>51579.758999999998</v>
      </c>
      <c r="AC48" s="139">
        <f t="shared" si="4"/>
        <v>54265.8</v>
      </c>
      <c r="AD48" s="139">
        <f t="shared" si="4"/>
        <v>73837.45</v>
      </c>
      <c r="AE48" s="139">
        <f t="shared" si="4"/>
        <v>74167.524000000005</v>
      </c>
      <c r="AF48" s="139">
        <f t="shared" si="4"/>
        <v>78188.790999999997</v>
      </c>
      <c r="AG48" s="139">
        <f t="shared" si="4"/>
        <v>81931.77</v>
      </c>
      <c r="AH48" s="139">
        <f>+V30</f>
        <v>4550.5</v>
      </c>
      <c r="AI48" s="139">
        <f>+W30</f>
        <v>4987.5</v>
      </c>
      <c r="AJ48" s="139">
        <f>+X30</f>
        <v>4326.2</v>
      </c>
      <c r="AK48" s="160">
        <f>Y30</f>
        <v>3817</v>
      </c>
      <c r="AL48" s="160">
        <f>Z30</f>
        <v>4138.3</v>
      </c>
      <c r="AM48" s="136"/>
      <c r="AN48" s="136"/>
    </row>
    <row r="49" spans="2:40" ht="15" customHeight="1" x14ac:dyDescent="0.2">
      <c r="B49" s="158"/>
      <c r="Z49" s="136"/>
      <c r="AA49" s="161" t="s">
        <v>115</v>
      </c>
      <c r="AB49" s="139">
        <f t="shared" ref="AB49:AI49" si="5">P13</f>
        <v>206116.75899999999</v>
      </c>
      <c r="AC49" s="139">
        <f t="shared" si="5"/>
        <v>403629.8</v>
      </c>
      <c r="AD49" s="139">
        <f t="shared" si="5"/>
        <v>701959.45</v>
      </c>
      <c r="AE49" s="139">
        <f t="shared" si="5"/>
        <v>379755.52399999998</v>
      </c>
      <c r="AF49" s="139">
        <f t="shared" si="5"/>
        <v>335732.79099999997</v>
      </c>
      <c r="AG49" s="139">
        <f t="shared" si="5"/>
        <v>321845.10333333333</v>
      </c>
      <c r="AH49" s="139">
        <f t="shared" si="5"/>
        <v>5568.2</v>
      </c>
      <c r="AI49" s="139">
        <f t="shared" si="5"/>
        <v>5949.6</v>
      </c>
      <c r="AJ49" s="139">
        <f>X13</f>
        <v>5307.4</v>
      </c>
      <c r="AK49" s="139">
        <f>Y13</f>
        <v>4752.8999999999996</v>
      </c>
      <c r="AL49" s="139">
        <f>Z13</f>
        <v>5248.7</v>
      </c>
      <c r="AM49" s="136"/>
      <c r="AN49" s="136"/>
    </row>
    <row r="50" spans="2:40" ht="14.25" x14ac:dyDescent="0.2">
      <c r="B50" s="158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</row>
    <row r="51" spans="2:40" ht="14.25" x14ac:dyDescent="0.2">
      <c r="B51" s="158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</row>
    <row r="52" spans="2:40" ht="14.25" x14ac:dyDescent="0.2">
      <c r="B52" s="158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</row>
    <row r="53" spans="2:40" ht="14.25" x14ac:dyDescent="0.2">
      <c r="B53" s="158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</row>
    <row r="54" spans="2:40" ht="14.25" x14ac:dyDescent="0.2">
      <c r="B54" s="158"/>
    </row>
    <row r="55" spans="2:40" ht="14.25" x14ac:dyDescent="0.2">
      <c r="B55" s="158"/>
    </row>
    <row r="56" spans="2:40" ht="14.25" x14ac:dyDescent="0.2">
      <c r="B56" s="158"/>
    </row>
    <row r="57" spans="2:40" ht="14.25" x14ac:dyDescent="0.2">
      <c r="B57" s="158"/>
    </row>
    <row r="58" spans="2:40" ht="14.25" x14ac:dyDescent="0.2">
      <c r="B58" s="158"/>
      <c r="C58" s="134"/>
    </row>
    <row r="59" spans="2:40" ht="14.25" x14ac:dyDescent="0.2">
      <c r="B59" s="158"/>
    </row>
    <row r="60" spans="2:40" ht="14.25" x14ac:dyDescent="0.2">
      <c r="B60" s="158"/>
    </row>
    <row r="61" spans="2:40" ht="14.25" x14ac:dyDescent="0.2">
      <c r="B61" s="158"/>
    </row>
    <row r="62" spans="2:40" ht="14.25" x14ac:dyDescent="0.2">
      <c r="B62" s="158"/>
    </row>
    <row r="63" spans="2:40" ht="14.25" x14ac:dyDescent="0.2">
      <c r="B63" s="158"/>
    </row>
    <row r="64" spans="2:40" ht="14.25" x14ac:dyDescent="0.2">
      <c r="B64" s="158"/>
      <c r="C64" s="49"/>
    </row>
    <row r="65" spans="2:26" ht="14.25" x14ac:dyDescent="0.2">
      <c r="B65" s="158"/>
      <c r="C65" s="49"/>
    </row>
    <row r="66" spans="2:26" x14ac:dyDescent="0.2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26" ht="9" customHeight="1" x14ac:dyDescent="0.2">
      <c r="C67" s="48"/>
      <c r="D67" s="48"/>
      <c r="E67" s="48"/>
      <c r="F67" s="48"/>
      <c r="G67" s="48"/>
      <c r="H67" s="48"/>
      <c r="I67" s="48"/>
      <c r="J67" s="48"/>
      <c r="K67" s="48"/>
    </row>
    <row r="68" spans="2:26" x14ac:dyDescent="0.2">
      <c r="B68" s="398">
        <f>'.02'!C57+1</f>
        <v>2</v>
      </c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206"/>
    </row>
  </sheetData>
  <mergeCells count="2">
    <mergeCell ref="B68:Y68"/>
    <mergeCell ref="Y8:AH8"/>
  </mergeCells>
  <phoneticPr fontId="7" type="noConversion"/>
  <printOptions horizontalCentered="1"/>
  <pageMargins left="1" right="1" top="1" bottom="0.93" header="0.5" footer="0.24"/>
  <pageSetup scale="61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123825</xdr:colOff>
                <xdr:row>1</xdr:row>
                <xdr:rowOff>66675</xdr:rowOff>
              </from>
              <to>
                <xdr:col>2</xdr:col>
                <xdr:colOff>619125</xdr:colOff>
                <xdr:row>4</xdr:row>
                <xdr:rowOff>9525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1:AQ118"/>
  <sheetViews>
    <sheetView zoomScaleNormal="100" zoomScaleSheetLayoutView="100" workbookViewId="0">
      <selection activeCell="M3" sqref="M3"/>
    </sheetView>
  </sheetViews>
  <sheetFormatPr defaultColWidth="9.140625" defaultRowHeight="12.75" x14ac:dyDescent="0.2"/>
  <cols>
    <col min="1" max="1" width="2.7109375" style="17" customWidth="1"/>
    <col min="2" max="2" width="8.140625" style="17" customWidth="1"/>
    <col min="3" max="3" width="12.28515625" style="17" customWidth="1"/>
    <col min="4" max="4" width="12.42578125" style="17" customWidth="1"/>
    <col min="5" max="5" width="1.5703125" style="17" customWidth="1"/>
    <col min="6" max="6" width="13.28515625" style="17" customWidth="1"/>
    <col min="7" max="7" width="3.7109375" style="17" customWidth="1"/>
    <col min="8" max="8" width="12.85546875" style="17" customWidth="1"/>
    <col min="9" max="9" width="1.42578125" style="17" customWidth="1"/>
    <col min="10" max="10" width="10.7109375" style="17" customWidth="1"/>
    <col min="11" max="11" width="1.7109375" style="17" customWidth="1"/>
    <col min="12" max="12" width="3.140625" style="17" customWidth="1"/>
    <col min="13" max="14" width="12.85546875" style="17" bestFit="1" customWidth="1"/>
    <col min="15" max="15" width="9.140625" style="17"/>
    <col min="16" max="16" width="11.28515625" style="17" customWidth="1"/>
    <col min="17" max="17" width="13.28515625" style="17" customWidth="1"/>
    <col min="18" max="16384" width="9.140625" style="17"/>
  </cols>
  <sheetData>
    <row r="1" spans="2:43" x14ac:dyDescent="0.2">
      <c r="H1" s="144" t="s">
        <v>253</v>
      </c>
    </row>
    <row r="4" spans="2:43" x14ac:dyDescent="0.2">
      <c r="O4" s="130"/>
    </row>
    <row r="5" spans="2:43" ht="15.75" x14ac:dyDescent="0.25">
      <c r="B5" s="131">
        <v>12.06</v>
      </c>
      <c r="C5" s="399" t="s">
        <v>273</v>
      </c>
      <c r="D5" s="399"/>
      <c r="E5" s="399"/>
      <c r="F5" s="399"/>
      <c r="G5" s="399"/>
      <c r="H5" s="399"/>
      <c r="I5" s="399"/>
      <c r="J5" s="399"/>
    </row>
    <row r="7" spans="2:43" x14ac:dyDescent="0.2">
      <c r="J7" s="316" t="s">
        <v>117</v>
      </c>
    </row>
    <row r="8" spans="2:43" ht="25.5" x14ac:dyDescent="0.2">
      <c r="C8" s="317" t="s">
        <v>0</v>
      </c>
      <c r="D8" s="318" t="s">
        <v>23</v>
      </c>
      <c r="E8" s="317"/>
      <c r="F8" s="318" t="s">
        <v>24</v>
      </c>
      <c r="G8" s="317"/>
      <c r="H8" s="318" t="s">
        <v>25</v>
      </c>
      <c r="I8" s="317"/>
      <c r="J8" s="318" t="s">
        <v>24</v>
      </c>
    </row>
    <row r="9" spans="2:43" hidden="1" x14ac:dyDescent="0.2">
      <c r="C9" s="25"/>
      <c r="D9" s="25"/>
      <c r="E9" s="25"/>
      <c r="F9" s="25"/>
      <c r="G9" s="25"/>
      <c r="H9" s="25"/>
      <c r="I9" s="25"/>
      <c r="J9" s="25"/>
    </row>
    <row r="10" spans="2:43" hidden="1" x14ac:dyDescent="0.2">
      <c r="C10" s="319">
        <v>1976</v>
      </c>
      <c r="D10" s="246">
        <v>21997</v>
      </c>
      <c r="E10" s="246"/>
      <c r="F10" s="320"/>
      <c r="G10" s="25"/>
      <c r="H10" s="246">
        <v>22064</v>
      </c>
      <c r="I10" s="246"/>
      <c r="J10" s="25"/>
      <c r="AQ10" s="17">
        <v>4932.3999999999996</v>
      </c>
    </row>
    <row r="11" spans="2:43" hidden="1" x14ac:dyDescent="0.2">
      <c r="C11" s="319">
        <v>1977</v>
      </c>
      <c r="D11" s="246">
        <v>31487</v>
      </c>
      <c r="E11" s="246"/>
      <c r="F11" s="321">
        <f t="shared" ref="F11:F38" ca="1" si="0">((D11/D10)-1)*100</f>
        <v>43.142246670000461</v>
      </c>
      <c r="G11" s="322"/>
      <c r="H11" s="246">
        <v>31133</v>
      </c>
      <c r="I11" s="246"/>
      <c r="J11" s="321">
        <f t="shared" ref="J11:J35" ca="1" si="1">(H11/H10-1)*100</f>
        <v>41.103154459753455</v>
      </c>
      <c r="AQ11" s="17">
        <v>2281.6999999999998</v>
      </c>
    </row>
    <row r="12" spans="2:43" hidden="1" x14ac:dyDescent="0.2">
      <c r="C12" s="319">
        <v>1978</v>
      </c>
      <c r="D12" s="246">
        <v>49033</v>
      </c>
      <c r="E12" s="246"/>
      <c r="F12" s="321">
        <f t="shared" ca="1" si="0"/>
        <v>55.724584749261609</v>
      </c>
      <c r="G12" s="322"/>
      <c r="H12" s="246">
        <v>48585</v>
      </c>
      <c r="I12" s="246"/>
      <c r="J12" s="321">
        <f t="shared" ca="1" si="1"/>
        <v>56.05627469244854</v>
      </c>
      <c r="AQ12" s="17">
        <v>100.2</v>
      </c>
    </row>
    <row r="13" spans="2:43" hidden="1" x14ac:dyDescent="0.2">
      <c r="C13" s="319">
        <v>1979</v>
      </c>
      <c r="D13" s="246">
        <v>61811</v>
      </c>
      <c r="E13" s="246"/>
      <c r="F13" s="321">
        <f t="shared" ca="1" si="0"/>
        <v>26.060000407888563</v>
      </c>
      <c r="G13" s="322"/>
      <c r="H13" s="246">
        <v>64648</v>
      </c>
      <c r="I13" s="246"/>
      <c r="J13" s="321">
        <f t="shared" ca="1" si="1"/>
        <v>33.061644540496026</v>
      </c>
      <c r="AQ13" s="17">
        <v>2181.5</v>
      </c>
    </row>
    <row r="14" spans="2:43" hidden="1" x14ac:dyDescent="0.2">
      <c r="C14" s="319">
        <v>1980</v>
      </c>
      <c r="D14" s="246">
        <v>84527</v>
      </c>
      <c r="E14" s="246"/>
      <c r="F14" s="321">
        <f t="shared" ca="1" si="0"/>
        <v>36.750740159518536</v>
      </c>
      <c r="G14" s="322"/>
      <c r="H14" s="246">
        <v>83401</v>
      </c>
      <c r="I14" s="246"/>
      <c r="J14" s="321">
        <f t="shared" ca="1" si="1"/>
        <v>29.00785793837397</v>
      </c>
      <c r="AQ14" s="17">
        <v>2650.7</v>
      </c>
    </row>
    <row r="15" spans="2:43" hidden="1" x14ac:dyDescent="0.2">
      <c r="C15" s="319">
        <v>1981</v>
      </c>
      <c r="D15" s="246">
        <v>109572</v>
      </c>
      <c r="E15" s="246"/>
      <c r="F15" s="321">
        <f t="shared" ca="1" si="0"/>
        <v>29.629585812817204</v>
      </c>
      <c r="G15" s="322"/>
      <c r="H15" s="246">
        <v>107919</v>
      </c>
      <c r="I15" s="246"/>
      <c r="J15" s="321">
        <f t="shared" ca="1" si="1"/>
        <v>29.397729044016252</v>
      </c>
      <c r="AQ15" s="17">
        <v>2971.2</v>
      </c>
    </row>
    <row r="16" spans="2:43" hidden="1" x14ac:dyDescent="0.2">
      <c r="C16" s="319">
        <v>1982</v>
      </c>
      <c r="D16" s="246">
        <v>125958</v>
      </c>
      <c r="E16" s="246"/>
      <c r="F16" s="321">
        <f t="shared" ca="1" si="0"/>
        <v>14.954550432592262</v>
      </c>
      <c r="G16" s="322"/>
      <c r="H16" s="246">
        <v>120069</v>
      </c>
      <c r="I16" s="246"/>
      <c r="J16" s="321">
        <f t="shared" ca="1" si="1"/>
        <v>11.258443832874665</v>
      </c>
      <c r="AQ16" s="17">
        <v>243.6</v>
      </c>
    </row>
    <row r="17" spans="3:43" hidden="1" x14ac:dyDescent="0.2">
      <c r="C17" s="319">
        <v>1983</v>
      </c>
      <c r="D17" s="246">
        <v>131281</v>
      </c>
      <c r="E17" s="246"/>
      <c r="F17" s="321">
        <f t="shared" ca="1" si="0"/>
        <v>4.2260118452182471</v>
      </c>
      <c r="G17" s="322"/>
      <c r="H17" s="246">
        <v>130448</v>
      </c>
      <c r="I17" s="246"/>
      <c r="J17" s="321">
        <f t="shared" ca="1" si="1"/>
        <v>8.6441962538207129</v>
      </c>
      <c r="AQ17" s="17">
        <v>70.099999999999994</v>
      </c>
    </row>
    <row r="18" spans="3:43" hidden="1" x14ac:dyDescent="0.2">
      <c r="C18" s="319">
        <v>1984</v>
      </c>
      <c r="D18" s="246">
        <v>150626</v>
      </c>
      <c r="E18" s="246"/>
      <c r="F18" s="321">
        <f t="shared" ca="1" si="0"/>
        <v>14.735567218409361</v>
      </c>
      <c r="G18" s="322"/>
      <c r="H18" s="246">
        <v>149418</v>
      </c>
      <c r="I18" s="246"/>
      <c r="J18" s="321">
        <f t="shared" ca="1" si="1"/>
        <v>14.542193057770136</v>
      </c>
      <c r="AQ18" s="17">
        <v>2657.5</v>
      </c>
    </row>
    <row r="19" spans="3:43" hidden="1" x14ac:dyDescent="0.2">
      <c r="C19" s="319">
        <v>1985</v>
      </c>
      <c r="D19" s="246">
        <v>175592</v>
      </c>
      <c r="E19" s="246"/>
      <c r="F19" s="321">
        <f ca="1">((D19/D18)-1)*100</f>
        <v>16.574827718986107</v>
      </c>
      <c r="G19" s="322"/>
      <c r="H19" s="246">
        <v>172592</v>
      </c>
      <c r="I19" s="246"/>
      <c r="J19" s="321">
        <f ca="1">(H19/H18-1)*100</f>
        <v>15.509510233037528</v>
      </c>
      <c r="AQ19" s="17">
        <v>-320.5</v>
      </c>
    </row>
    <row r="20" spans="3:43" hidden="1" x14ac:dyDescent="0.2">
      <c r="C20" s="319">
        <v>1986</v>
      </c>
      <c r="D20" s="246">
        <v>202188</v>
      </c>
      <c r="E20" s="246"/>
      <c r="F20" s="321">
        <f t="shared" ca="1" si="0"/>
        <v>15.146475921454282</v>
      </c>
      <c r="G20" s="322"/>
      <c r="H20" s="246">
        <v>193300</v>
      </c>
      <c r="I20" s="246"/>
      <c r="J20" s="321">
        <f t="shared" ca="1" si="1"/>
        <v>11.998238620561796</v>
      </c>
    </row>
    <row r="21" spans="3:43" hidden="1" x14ac:dyDescent="0.2">
      <c r="C21" s="319">
        <v>1987</v>
      </c>
      <c r="D21" s="246">
        <v>249909</v>
      </c>
      <c r="E21" s="246"/>
      <c r="F21" s="321">
        <f t="shared" ca="1" si="0"/>
        <v>23.602290937147608</v>
      </c>
      <c r="G21" s="322"/>
      <c r="H21" s="246">
        <v>243196</v>
      </c>
      <c r="I21" s="246"/>
      <c r="J21" s="321">
        <f t="shared" ca="1" si="1"/>
        <v>25.812726332126235</v>
      </c>
      <c r="AQ21" s="17">
        <v>4932.3999999999996</v>
      </c>
    </row>
    <row r="22" spans="3:43" hidden="1" x14ac:dyDescent="0.2">
      <c r="C22" s="319">
        <v>1988</v>
      </c>
      <c r="D22" s="246">
        <v>281032</v>
      </c>
      <c r="E22" s="246"/>
      <c r="F22" s="321">
        <f t="shared" ca="1" si="0"/>
        <v>12.45373315886984</v>
      </c>
      <c r="G22" s="322"/>
      <c r="H22" s="246">
        <v>246039</v>
      </c>
      <c r="I22" s="246"/>
      <c r="J22" s="321">
        <f t="shared" ca="1" si="1"/>
        <v>1.1690159377621301</v>
      </c>
      <c r="AQ22" s="17">
        <v>1209.0999999999999</v>
      </c>
    </row>
    <row r="23" spans="3:43" hidden="1" x14ac:dyDescent="0.2">
      <c r="C23" s="319">
        <v>1989</v>
      </c>
      <c r="D23" s="246">
        <v>350637</v>
      </c>
      <c r="E23" s="246"/>
      <c r="F23" s="321">
        <f t="shared" ca="1" si="0"/>
        <v>24.76764211904694</v>
      </c>
      <c r="G23" s="322"/>
      <c r="H23" s="246">
        <v>339822</v>
      </c>
      <c r="I23" s="246"/>
      <c r="J23" s="321">
        <f t="shared" ca="1" si="1"/>
        <v>38.117127772426329</v>
      </c>
      <c r="AQ23" s="17">
        <v>95.5</v>
      </c>
    </row>
    <row r="24" spans="3:43" x14ac:dyDescent="0.2">
      <c r="C24" s="319"/>
      <c r="D24" s="246"/>
      <c r="E24" s="246"/>
      <c r="F24" s="321"/>
      <c r="G24" s="322"/>
      <c r="H24" s="246"/>
      <c r="I24" s="246"/>
      <c r="J24" s="321"/>
      <c r="AQ24" s="17">
        <v>1113.5999999999999</v>
      </c>
    </row>
    <row r="25" spans="3:43" x14ac:dyDescent="0.2">
      <c r="C25" s="319">
        <v>1990</v>
      </c>
      <c r="D25" s="246">
        <v>432781</v>
      </c>
      <c r="E25" s="246"/>
      <c r="F25" s="321">
        <f ca="1">((D25/D23)-1)*100</f>
        <v>23.427077005564168</v>
      </c>
      <c r="G25" s="322"/>
      <c r="H25" s="246">
        <v>430200</v>
      </c>
      <c r="I25" s="246"/>
      <c r="J25" s="321">
        <f ca="1">(H25/H23-1)*100</f>
        <v>26.595688330949741</v>
      </c>
      <c r="AQ25" s="17">
        <v>460.6</v>
      </c>
    </row>
    <row r="26" spans="3:43" x14ac:dyDescent="0.2">
      <c r="C26" s="319">
        <v>1991</v>
      </c>
      <c r="D26" s="246">
        <v>427105</v>
      </c>
      <c r="E26" s="246"/>
      <c r="F26" s="323">
        <f t="shared" ca="1" si="0"/>
        <v>-1.3115178346554068</v>
      </c>
      <c r="G26" s="322"/>
      <c r="H26" s="246">
        <v>423504</v>
      </c>
      <c r="I26" s="246"/>
      <c r="J26" s="321">
        <f t="shared" ca="1" si="1"/>
        <v>-1.5564853556485403</v>
      </c>
      <c r="AQ26" s="17">
        <v>653</v>
      </c>
    </row>
    <row r="27" spans="3:43" x14ac:dyDescent="0.2">
      <c r="C27" s="319">
        <v>1992</v>
      </c>
      <c r="D27" s="246">
        <v>411491</v>
      </c>
      <c r="E27" s="246"/>
      <c r="F27" s="321">
        <f t="shared" ca="1" si="0"/>
        <v>-3.655775511876469</v>
      </c>
      <c r="G27" s="322"/>
      <c r="H27" s="246">
        <v>408157</v>
      </c>
      <c r="I27" s="246"/>
      <c r="J27" s="321">
        <f t="shared" ca="1" si="1"/>
        <v>-3.623814651101287</v>
      </c>
      <c r="AQ27" s="17">
        <v>3723.3</v>
      </c>
    </row>
    <row r="28" spans="3:43" x14ac:dyDescent="0.2">
      <c r="C28" s="319">
        <v>1993</v>
      </c>
      <c r="D28" s="246">
        <v>407259</v>
      </c>
      <c r="E28" s="246"/>
      <c r="F28" s="321">
        <f t="shared" ca="1" si="0"/>
        <v>-1.0284550573402607</v>
      </c>
      <c r="G28" s="322"/>
      <c r="H28" s="246">
        <v>403472</v>
      </c>
      <c r="I28" s="246"/>
      <c r="J28" s="321">
        <f t="shared" ca="1" si="1"/>
        <v>-1.1478426193842095</v>
      </c>
      <c r="AQ28" s="17">
        <v>3382</v>
      </c>
    </row>
    <row r="29" spans="3:43" x14ac:dyDescent="0.2">
      <c r="C29" s="319">
        <v>1994</v>
      </c>
      <c r="D29" s="246">
        <v>460671</v>
      </c>
      <c r="E29" s="246"/>
      <c r="F29" s="321">
        <f t="shared" ca="1" si="0"/>
        <v>13.114995617039771</v>
      </c>
      <c r="G29" s="322"/>
      <c r="H29" s="246">
        <v>455437</v>
      </c>
      <c r="I29" s="246"/>
      <c r="J29" s="321">
        <f t="shared" ca="1" si="1"/>
        <v>12.879456319149774</v>
      </c>
    </row>
    <row r="30" spans="3:43" x14ac:dyDescent="0.2">
      <c r="C30" s="319"/>
      <c r="D30" s="246"/>
      <c r="E30" s="246"/>
      <c r="F30" s="321"/>
      <c r="G30" s="322"/>
      <c r="H30" s="246"/>
      <c r="I30" s="246"/>
      <c r="J30" s="321"/>
    </row>
    <row r="31" spans="3:43" x14ac:dyDescent="0.2">
      <c r="C31" s="319">
        <v>1995</v>
      </c>
      <c r="D31" s="246">
        <v>499702</v>
      </c>
      <c r="E31" s="246"/>
      <c r="F31" s="321">
        <f ca="1">((D31/D29)-1)*100</f>
        <v>8.4726409954175566</v>
      </c>
      <c r="G31" s="322"/>
      <c r="H31" s="246">
        <v>495000</v>
      </c>
      <c r="I31" s="246"/>
      <c r="J31" s="321">
        <f ca="1">(H31/H29-1)*100</f>
        <v>8.6868216679804267</v>
      </c>
    </row>
    <row r="32" spans="3:43" x14ac:dyDescent="0.2">
      <c r="C32" s="319">
        <v>1996</v>
      </c>
      <c r="D32" s="246">
        <v>497624</v>
      </c>
      <c r="E32" s="246"/>
      <c r="F32" s="321">
        <f t="shared" ca="1" si="0"/>
        <v>-0.41584784531580876</v>
      </c>
      <c r="G32" s="322"/>
      <c r="H32" s="246">
        <v>492993</v>
      </c>
      <c r="I32" s="246"/>
      <c r="J32" s="321">
        <f t="shared" ca="1" si="1"/>
        <v>-0.40545454545454218</v>
      </c>
    </row>
    <row r="33" spans="2:21" x14ac:dyDescent="0.2">
      <c r="C33" s="319">
        <v>1997</v>
      </c>
      <c r="D33" s="246">
        <v>641663</v>
      </c>
      <c r="E33" s="246"/>
      <c r="F33" s="321">
        <f t="shared" ca="1" si="0"/>
        <v>28.945348295098317</v>
      </c>
      <c r="G33" s="322"/>
      <c r="H33" s="246">
        <v>635289</v>
      </c>
      <c r="I33" s="246"/>
      <c r="J33" s="321">
        <f t="shared" ca="1" si="1"/>
        <v>28.863695833409398</v>
      </c>
    </row>
    <row r="34" spans="2:21" x14ac:dyDescent="0.2">
      <c r="C34" s="319">
        <v>1998</v>
      </c>
      <c r="D34" s="246">
        <v>622771</v>
      </c>
      <c r="E34" s="246"/>
      <c r="F34" s="321">
        <f t="shared" ca="1" si="0"/>
        <v>-2.9442246163484564</v>
      </c>
      <c r="G34" s="322"/>
      <c r="H34" s="246">
        <v>607214</v>
      </c>
      <c r="I34" s="246"/>
      <c r="J34" s="321">
        <f t="shared" ca="1" si="1"/>
        <v>-4.4192485624652722</v>
      </c>
    </row>
    <row r="35" spans="2:21" x14ac:dyDescent="0.2">
      <c r="C35" s="319">
        <v>1999</v>
      </c>
      <c r="D35" s="246">
        <v>578422</v>
      </c>
      <c r="E35" s="246"/>
      <c r="F35" s="321">
        <f t="shared" ca="1" si="0"/>
        <v>-7.1212371802797492</v>
      </c>
      <c r="G35" s="322"/>
      <c r="H35" s="246">
        <v>628817</v>
      </c>
      <c r="I35" s="246"/>
      <c r="J35" s="321">
        <f t="shared" ca="1" si="1"/>
        <v>3.5577242948943821</v>
      </c>
      <c r="O35" s="209"/>
      <c r="P35" s="209"/>
      <c r="Q35" s="209"/>
      <c r="R35" s="209"/>
      <c r="S35" s="209"/>
      <c r="T35" s="209"/>
      <c r="U35" s="209"/>
    </row>
    <row r="36" spans="2:21" x14ac:dyDescent="0.2">
      <c r="C36" s="319"/>
      <c r="D36" s="246"/>
      <c r="E36" s="246"/>
      <c r="F36" s="321"/>
      <c r="G36" s="322"/>
      <c r="H36" s="246"/>
      <c r="I36" s="246"/>
      <c r="J36" s="321"/>
      <c r="O36" s="209"/>
      <c r="P36" s="209"/>
      <c r="Q36" s="209"/>
      <c r="R36" s="209"/>
      <c r="S36" s="209"/>
      <c r="T36" s="209"/>
      <c r="U36" s="209"/>
    </row>
    <row r="37" spans="2:21" s="25" customFormat="1" x14ac:dyDescent="0.2">
      <c r="C37" s="319">
        <v>2000</v>
      </c>
      <c r="D37" s="246">
        <v>781546</v>
      </c>
      <c r="F37" s="321">
        <f ca="1">((D37/D35)-1)*100</f>
        <v>35.11692155554249</v>
      </c>
      <c r="H37" s="246">
        <v>766935</v>
      </c>
      <c r="J37" s="321">
        <f ca="1">(H37/H35-1)*100</f>
        <v>21.964736958447361</v>
      </c>
      <c r="O37" s="210"/>
      <c r="P37" s="210"/>
      <c r="Q37" s="210"/>
      <c r="R37" s="210"/>
      <c r="S37" s="210"/>
      <c r="T37" s="210"/>
      <c r="U37" s="210"/>
    </row>
    <row r="38" spans="2:21" x14ac:dyDescent="0.2">
      <c r="B38" s="25"/>
      <c r="C38" s="319">
        <v>2001</v>
      </c>
      <c r="D38" s="246">
        <v>848511</v>
      </c>
      <c r="E38" s="25"/>
      <c r="F38" s="321">
        <f t="shared" ca="1" si="0"/>
        <v>8.5682736524785419</v>
      </c>
      <c r="G38" s="25"/>
      <c r="H38" s="246">
        <v>828096</v>
      </c>
      <c r="I38" s="25"/>
      <c r="J38" s="321">
        <f ca="1">(H38/H37-1)*100</f>
        <v>7.9747305834262372</v>
      </c>
      <c r="K38" s="25"/>
      <c r="L38" s="25"/>
      <c r="O38" s="209"/>
      <c r="P38" s="209"/>
      <c r="Q38" s="209"/>
      <c r="R38" s="209"/>
      <c r="S38" s="209"/>
      <c r="T38" s="209"/>
      <c r="U38" s="209"/>
    </row>
    <row r="39" spans="2:21" x14ac:dyDescent="0.2">
      <c r="B39" s="25"/>
      <c r="C39" s="319">
        <v>2002</v>
      </c>
      <c r="D39" s="246">
        <v>1037031</v>
      </c>
      <c r="E39" s="25"/>
      <c r="F39" s="321">
        <f t="shared" ref="F39:F44" ca="1" si="2">((D39/D38)-1)*100</f>
        <v>22.217743788825373</v>
      </c>
      <c r="G39" s="25"/>
      <c r="H39" s="246">
        <v>1020989</v>
      </c>
      <c r="I39" s="25"/>
      <c r="J39" s="321">
        <f ca="1">(H39/H38-1)*100</f>
        <v>23.293555336579331</v>
      </c>
      <c r="K39" s="25"/>
      <c r="L39" s="25"/>
      <c r="O39" s="209"/>
      <c r="P39" s="209"/>
      <c r="Q39" s="209"/>
      <c r="R39" s="209"/>
      <c r="S39" s="209"/>
      <c r="T39" s="209"/>
      <c r="U39" s="209"/>
    </row>
    <row r="40" spans="2:21" x14ac:dyDescent="0.2">
      <c r="B40" s="25"/>
      <c r="C40" s="319">
        <v>2003</v>
      </c>
      <c r="D40" s="246">
        <v>1038900</v>
      </c>
      <c r="E40" s="25"/>
      <c r="F40" s="321">
        <f t="shared" ca="1" si="2"/>
        <v>0.18022604917307117</v>
      </c>
      <c r="G40" s="25"/>
      <c r="H40" s="246">
        <v>996800</v>
      </c>
      <c r="I40" s="25"/>
      <c r="J40" s="321">
        <f ca="1">(H40/H39-1)*100</f>
        <v>-2.369173419106374</v>
      </c>
      <c r="K40" s="25"/>
      <c r="L40" s="25"/>
      <c r="O40" s="209"/>
      <c r="P40" s="209"/>
      <c r="Q40" s="209"/>
      <c r="R40" s="209"/>
      <c r="S40" s="209"/>
      <c r="T40" s="209"/>
      <c r="U40" s="209"/>
    </row>
    <row r="41" spans="2:21" x14ac:dyDescent="0.2">
      <c r="B41" s="25"/>
      <c r="C41" s="319">
        <v>2004</v>
      </c>
      <c r="D41" s="246">
        <f ca="1">(964.7*1000000000)/1000000</f>
        <v>964700</v>
      </c>
      <c r="E41" s="25"/>
      <c r="F41" s="321">
        <f t="shared" ca="1" si="2"/>
        <v>-7.1421696024641435</v>
      </c>
      <c r="G41" s="25"/>
      <c r="H41" s="246">
        <v>923200</v>
      </c>
      <c r="I41" s="25"/>
      <c r="J41" s="321">
        <f ca="1">(H41/H40-1)*100</f>
        <v>-7.3836276083467105</v>
      </c>
      <c r="K41" s="25"/>
      <c r="L41" s="25"/>
      <c r="O41" s="209"/>
      <c r="P41" s="209"/>
      <c r="Q41" s="209"/>
      <c r="R41" s="209"/>
      <c r="S41" s="209"/>
      <c r="T41" s="209"/>
      <c r="U41" s="209"/>
    </row>
    <row r="42" spans="2:21" x14ac:dyDescent="0.2">
      <c r="B42" s="25"/>
      <c r="C42" s="319"/>
      <c r="D42" s="246"/>
      <c r="E42" s="25"/>
      <c r="F42" s="321"/>
      <c r="G42" s="25"/>
      <c r="H42" s="246"/>
      <c r="I42" s="25"/>
      <c r="J42" s="321"/>
      <c r="K42" s="25"/>
      <c r="L42" s="25"/>
      <c r="O42" s="209"/>
      <c r="P42" s="209"/>
      <c r="Q42" s="209"/>
      <c r="R42" s="209"/>
      <c r="S42" s="209"/>
      <c r="T42" s="209"/>
      <c r="U42" s="209"/>
    </row>
    <row r="43" spans="2:21" x14ac:dyDescent="0.2">
      <c r="B43" s="25"/>
      <c r="C43" s="319">
        <v>2005</v>
      </c>
      <c r="D43" s="246">
        <f ca="1">(1216.1*1000000000)/1000000</f>
        <v>1216100</v>
      </c>
      <c r="E43" s="25"/>
      <c r="F43" s="321">
        <f ca="1">((D43/D41)-1)*100</f>
        <v>26.059914999481705</v>
      </c>
      <c r="G43" s="25"/>
      <c r="H43" s="246">
        <v>1162400</v>
      </c>
      <c r="I43" s="25"/>
      <c r="J43" s="321">
        <f ca="1">(H43/H41-1)*100</f>
        <v>25.90987868284229</v>
      </c>
      <c r="K43" s="25"/>
      <c r="L43" s="25"/>
      <c r="O43" s="209"/>
      <c r="P43" s="209"/>
      <c r="Q43" s="209"/>
      <c r="R43" s="209"/>
      <c r="S43" s="209"/>
      <c r="T43" s="209"/>
      <c r="U43" s="209"/>
    </row>
    <row r="44" spans="2:21" x14ac:dyDescent="0.2">
      <c r="B44" s="25"/>
      <c r="C44" s="319">
        <v>2006</v>
      </c>
      <c r="D44" s="246">
        <v>1607900</v>
      </c>
      <c r="E44" s="25"/>
      <c r="F44" s="321">
        <f t="shared" ca="1" si="2"/>
        <v>32.217745251212904</v>
      </c>
      <c r="G44" s="25"/>
      <c r="H44" s="246">
        <v>1598000</v>
      </c>
      <c r="I44" s="25"/>
      <c r="J44" s="321">
        <f ca="1">(H44/H43-1)*100</f>
        <v>37.474191328286309</v>
      </c>
      <c r="K44" s="25"/>
      <c r="L44" s="25"/>
      <c r="O44" s="209"/>
      <c r="P44" s="209"/>
      <c r="Q44" s="209"/>
      <c r="R44" s="209"/>
      <c r="S44" s="209"/>
      <c r="T44" s="209"/>
      <c r="U44" s="209"/>
    </row>
    <row r="45" spans="2:21" x14ac:dyDescent="0.2">
      <c r="B45" s="25"/>
      <c r="C45" s="319">
        <v>2007</v>
      </c>
      <c r="D45" s="246">
        <v>1873600</v>
      </c>
      <c r="E45" s="25"/>
      <c r="F45" s="321">
        <f ca="1">((D45/D44)-1)*100</f>
        <v>16.524659493749617</v>
      </c>
      <c r="G45" s="25"/>
      <c r="H45" s="246">
        <v>1856500</v>
      </c>
      <c r="I45" s="25"/>
      <c r="J45" s="321">
        <f ca="1">(H45/H44-1)*100</f>
        <v>16.176470588235304</v>
      </c>
      <c r="K45" s="25"/>
      <c r="L45" s="25"/>
      <c r="O45" s="209"/>
      <c r="P45" s="209"/>
      <c r="Q45" s="209"/>
      <c r="R45" s="209"/>
      <c r="S45" s="209"/>
      <c r="T45" s="209"/>
      <c r="U45" s="209"/>
    </row>
    <row r="46" spans="2:21" x14ac:dyDescent="0.2">
      <c r="B46" s="25"/>
      <c r="C46" s="319">
        <v>2008</v>
      </c>
      <c r="D46" s="246">
        <v>1799164</v>
      </c>
      <c r="E46" s="25"/>
      <c r="F46" s="321">
        <f ca="1">((D46/D45)-1)*100</f>
        <v>-3.9728864218616544</v>
      </c>
      <c r="G46" s="25"/>
      <c r="H46" s="246">
        <v>1803289</v>
      </c>
      <c r="I46" s="25"/>
      <c r="J46" s="321">
        <f ca="1">((H46/H45)-1)*100</f>
        <v>-2.8661998384056031</v>
      </c>
      <c r="K46" s="25"/>
      <c r="L46" s="25"/>
      <c r="O46" s="209"/>
      <c r="P46" s="209"/>
      <c r="Q46" s="209"/>
      <c r="R46" s="209"/>
      <c r="S46" s="209"/>
      <c r="T46" s="209"/>
      <c r="U46" s="209"/>
    </row>
    <row r="47" spans="2:21" ht="14.25" x14ac:dyDescent="0.2">
      <c r="B47" s="25"/>
      <c r="C47" s="324">
        <v>2009</v>
      </c>
      <c r="D47" s="246">
        <v>1755868</v>
      </c>
      <c r="E47" s="325"/>
      <c r="F47" s="321">
        <f ca="1">((D47/D46)-1)*100</f>
        <v>-2.4064509961293168</v>
      </c>
      <c r="G47" s="25"/>
      <c r="H47" s="246">
        <v>1771100</v>
      </c>
      <c r="I47" s="325"/>
      <c r="J47" s="321">
        <f ca="1">((H47/H46)-1)*100</f>
        <v>-1.7850161565894362</v>
      </c>
      <c r="K47" s="25"/>
      <c r="L47" s="25"/>
      <c r="O47" s="209"/>
      <c r="P47" s="209"/>
      <c r="Q47" s="209"/>
      <c r="R47" s="209"/>
      <c r="S47" s="209"/>
      <c r="T47" s="209"/>
      <c r="U47" s="209"/>
    </row>
    <row r="48" spans="2:21" ht="14.25" x14ac:dyDescent="0.2">
      <c r="B48" s="25"/>
      <c r="C48" s="324"/>
      <c r="D48" s="246"/>
      <c r="E48" s="325"/>
      <c r="F48" s="321"/>
      <c r="G48" s="25"/>
      <c r="H48" s="246"/>
      <c r="I48" s="325"/>
      <c r="J48" s="321"/>
      <c r="K48" s="25"/>
      <c r="L48" s="25"/>
      <c r="O48" s="209"/>
      <c r="P48" s="209"/>
      <c r="Q48" s="209"/>
      <c r="R48" s="209"/>
      <c r="S48" s="209"/>
      <c r="T48" s="209"/>
      <c r="U48" s="209"/>
    </row>
    <row r="49" spans="2:21" ht="14.25" x14ac:dyDescent="0.2">
      <c r="B49" s="25"/>
      <c r="C49" s="324">
        <v>2010</v>
      </c>
      <c r="D49" s="246">
        <v>1761661</v>
      </c>
      <c r="E49" s="325"/>
      <c r="F49" s="321">
        <f ca="1">((D49/D47)-1)*100</f>
        <v>0.32992229484221092</v>
      </c>
      <c r="G49" s="25"/>
      <c r="H49" s="246">
        <v>1795880</v>
      </c>
      <c r="I49" s="325"/>
      <c r="J49" s="321">
        <f ca="1">((H49/H47)-1)*100</f>
        <v>1.3991304838800733</v>
      </c>
      <c r="K49" s="25"/>
      <c r="L49" s="25"/>
      <c r="O49" s="209"/>
      <c r="P49" s="209"/>
      <c r="Q49" s="209"/>
      <c r="R49" s="209"/>
      <c r="S49" s="209"/>
      <c r="T49" s="209"/>
      <c r="U49" s="209"/>
    </row>
    <row r="50" spans="2:21" ht="13.5" customHeight="1" x14ac:dyDescent="0.2">
      <c r="B50" s="25"/>
      <c r="C50" s="324">
        <v>2011</v>
      </c>
      <c r="D50" s="246">
        <v>1543735</v>
      </c>
      <c r="E50" s="25"/>
      <c r="F50" s="321">
        <f ca="1">((D50/D49)-1)*100</f>
        <v>-12.370484446212981</v>
      </c>
      <c r="G50" s="25"/>
      <c r="H50" s="246">
        <v>1584592</v>
      </c>
      <c r="I50" s="25"/>
      <c r="J50" s="321">
        <f ca="1">((H50/H49)-1)*100</f>
        <v>-11.765151346415125</v>
      </c>
      <c r="K50" s="25"/>
      <c r="L50" s="25"/>
      <c r="O50" s="209"/>
      <c r="P50" s="209"/>
      <c r="Q50" s="209"/>
      <c r="R50" s="209"/>
      <c r="S50" s="209"/>
      <c r="T50" s="209"/>
      <c r="U50" s="209"/>
    </row>
    <row r="51" spans="2:21" ht="13.5" customHeight="1" x14ac:dyDescent="0.2">
      <c r="B51" s="25"/>
      <c r="C51" s="324">
        <v>2012</v>
      </c>
      <c r="D51" s="246">
        <v>1409321</v>
      </c>
      <c r="E51" s="25"/>
      <c r="F51" s="321">
        <f t="shared" ref="F51:F57" ca="1" si="3">D51/D50*100-100</f>
        <v>-8.7070643601395261</v>
      </c>
      <c r="G51" s="25"/>
      <c r="H51" s="246">
        <v>1434218</v>
      </c>
      <c r="I51" s="25"/>
      <c r="J51" s="321">
        <f t="shared" ref="J51:J57" ca="1" si="4">H51/H50*100-100</f>
        <v>-9.4897614023041825</v>
      </c>
      <c r="K51" s="25"/>
      <c r="L51" s="25"/>
      <c r="O51" s="209"/>
      <c r="P51" s="209"/>
      <c r="Q51" s="209"/>
      <c r="R51" s="209"/>
      <c r="S51" s="209"/>
      <c r="T51" s="209"/>
      <c r="U51" s="209"/>
    </row>
    <row r="52" spans="2:21" x14ac:dyDescent="0.2">
      <c r="B52" s="132"/>
      <c r="C52" s="324">
        <v>2013</v>
      </c>
      <c r="D52" s="326">
        <v>1377200</v>
      </c>
      <c r="E52" s="25"/>
      <c r="F52" s="321">
        <f t="shared" ca="1" si="3"/>
        <v>-2.2791826702362386</v>
      </c>
      <c r="G52" s="25"/>
      <c r="H52" s="326">
        <v>1366800</v>
      </c>
      <c r="I52" s="25"/>
      <c r="J52" s="321">
        <f t="shared" ca="1" si="4"/>
        <v>-4.7006800918688754</v>
      </c>
      <c r="K52" s="25"/>
      <c r="L52" s="25"/>
      <c r="O52" s="209"/>
      <c r="P52" s="211"/>
      <c r="Q52" s="211"/>
      <c r="R52" s="209"/>
      <c r="S52" s="209"/>
      <c r="T52" s="209"/>
      <c r="U52" s="209"/>
    </row>
    <row r="53" spans="2:21" x14ac:dyDescent="0.2">
      <c r="B53" s="132"/>
      <c r="C53" s="324">
        <v>2014</v>
      </c>
      <c r="D53" s="326">
        <v>1423029</v>
      </c>
      <c r="E53" s="25"/>
      <c r="F53" s="321">
        <f t="shared" ca="1" si="3"/>
        <v>3.3276938716235946</v>
      </c>
      <c r="G53" s="25"/>
      <c r="H53" s="326">
        <v>1443356</v>
      </c>
      <c r="I53" s="25"/>
      <c r="J53" s="321">
        <f t="shared" ca="1" si="4"/>
        <v>5.6011120866257045</v>
      </c>
      <c r="K53" s="25"/>
      <c r="L53" s="25"/>
      <c r="O53" s="209"/>
      <c r="P53" s="211"/>
      <c r="Q53" s="211"/>
      <c r="R53" s="209"/>
      <c r="S53" s="209"/>
      <c r="T53" s="209"/>
      <c r="U53" s="209"/>
    </row>
    <row r="54" spans="2:21" x14ac:dyDescent="0.2">
      <c r="B54" s="132"/>
      <c r="C54" s="324">
        <v>2015</v>
      </c>
      <c r="D54" s="326">
        <v>1377000</v>
      </c>
      <c r="E54" s="25"/>
      <c r="F54" s="321">
        <f t="shared" ca="1" si="3"/>
        <v>-3.2345791969102464</v>
      </c>
      <c r="G54" s="25"/>
      <c r="H54" s="326">
        <v>1380000</v>
      </c>
      <c r="I54" s="25"/>
      <c r="J54" s="321">
        <f t="shared" ca="1" si="4"/>
        <v>-4.38949226663415</v>
      </c>
      <c r="K54" s="25"/>
      <c r="L54" s="25"/>
      <c r="O54" s="128"/>
      <c r="P54" s="129"/>
      <c r="Q54" s="129"/>
      <c r="R54" s="128"/>
    </row>
    <row r="55" spans="2:21" x14ac:dyDescent="0.2">
      <c r="B55" s="132"/>
      <c r="C55" s="324">
        <v>2016</v>
      </c>
      <c r="D55" s="326">
        <v>1015623</v>
      </c>
      <c r="E55" s="25"/>
      <c r="F55" s="321">
        <f t="shared" ca="1" si="3"/>
        <v>-26.243790849673204</v>
      </c>
      <c r="G55" s="25"/>
      <c r="H55" s="326">
        <v>985470</v>
      </c>
      <c r="I55" s="25"/>
      <c r="J55" s="321">
        <f t="shared" ca="1" si="4"/>
        <v>-28.589130434782604</v>
      </c>
      <c r="K55" s="25"/>
      <c r="L55" s="25"/>
      <c r="O55" s="128"/>
      <c r="P55" s="129"/>
      <c r="Q55" s="129"/>
      <c r="R55" s="128"/>
    </row>
    <row r="56" spans="2:21" x14ac:dyDescent="0.2">
      <c r="B56" s="132"/>
      <c r="C56" s="324">
        <v>2017</v>
      </c>
      <c r="D56" s="326">
        <v>914692</v>
      </c>
      <c r="E56" s="25"/>
      <c r="F56" s="321">
        <f ca="1">D56/D55*100-100</f>
        <v>-9.9378411083640259</v>
      </c>
      <c r="G56" s="25"/>
      <c r="H56" s="326">
        <v>874427</v>
      </c>
      <c r="I56" s="25"/>
      <c r="J56" s="321">
        <f t="shared" ca="1" si="4"/>
        <v>-11.268024394451388</v>
      </c>
      <c r="K56" s="25"/>
      <c r="L56" s="25"/>
      <c r="O56" s="128"/>
      <c r="P56" s="129"/>
      <c r="Q56" s="129"/>
      <c r="R56" s="128"/>
    </row>
    <row r="57" spans="2:21" x14ac:dyDescent="0.2">
      <c r="B57" s="132"/>
      <c r="C57" s="324">
        <v>2018</v>
      </c>
      <c r="D57" s="326">
        <v>652463</v>
      </c>
      <c r="E57" s="25"/>
      <c r="F57" s="321">
        <f t="shared" ca="1" si="3"/>
        <v>-28.668557284856547</v>
      </c>
      <c r="G57" s="25"/>
      <c r="H57" s="326">
        <v>622186</v>
      </c>
      <c r="I57" s="25"/>
      <c r="J57" s="321">
        <f t="shared" ca="1" si="4"/>
        <v>-28.846433149937042</v>
      </c>
      <c r="K57" s="25"/>
      <c r="L57" s="25"/>
      <c r="O57" s="128"/>
      <c r="P57" s="129"/>
      <c r="Q57" s="129"/>
      <c r="R57" s="128"/>
    </row>
    <row r="58" spans="2:21" x14ac:dyDescent="0.2">
      <c r="B58" s="25"/>
      <c r="C58" s="324">
        <v>2019</v>
      </c>
      <c r="D58" s="326">
        <v>639524</v>
      </c>
      <c r="E58" s="25"/>
      <c r="F58" s="321">
        <f ca="1">D58/D57*100-100</f>
        <v>-1.9831009574489258</v>
      </c>
      <c r="G58" s="25"/>
      <c r="H58" s="326">
        <v>609685</v>
      </c>
      <c r="I58" s="25"/>
      <c r="J58" s="321">
        <f ca="1">H58/H57*100-100</f>
        <v>-2.0092062502209984</v>
      </c>
      <c r="K58" s="25"/>
      <c r="L58" s="25"/>
    </row>
    <row r="59" spans="2:21" x14ac:dyDescent="0.2">
      <c r="B59" s="25"/>
      <c r="C59" s="327">
        <v>2020</v>
      </c>
      <c r="D59" s="328">
        <v>578970</v>
      </c>
      <c r="E59" s="133"/>
      <c r="F59" s="329">
        <v>-9.5</v>
      </c>
      <c r="G59" s="133"/>
      <c r="H59" s="328">
        <v>537752</v>
      </c>
      <c r="I59" s="133"/>
      <c r="J59" s="329">
        <v>11.8</v>
      </c>
      <c r="K59" s="25"/>
      <c r="L59" s="25"/>
    </row>
    <row r="60" spans="2:21" x14ac:dyDescent="0.2">
      <c r="B60" s="25"/>
      <c r="E60" s="25"/>
      <c r="F60" s="25"/>
      <c r="G60" s="25"/>
      <c r="H60" s="25"/>
      <c r="I60" s="25"/>
      <c r="J60" s="25"/>
      <c r="K60" s="25"/>
      <c r="L60" s="25"/>
    </row>
    <row r="61" spans="2:21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2:2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2:2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2:2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2:12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2:12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2:12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2:12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2:12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2:12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2:12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2:12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2:12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2:12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2:12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2:12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2:12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2:12" x14ac:dyDescent="0.2">
      <c r="B78" s="25"/>
      <c r="D78" s="25"/>
      <c r="E78" s="25"/>
      <c r="F78" s="25"/>
      <c r="G78" s="25"/>
      <c r="H78" s="25"/>
      <c r="I78" s="25"/>
      <c r="J78" s="25"/>
    </row>
    <row r="79" spans="2:12" x14ac:dyDescent="0.2">
      <c r="B79" s="25"/>
      <c r="C79" s="49"/>
      <c r="D79" s="25"/>
      <c r="E79" s="25"/>
      <c r="F79" s="25"/>
      <c r="G79" s="25"/>
      <c r="H79" s="25"/>
      <c r="I79" s="25"/>
      <c r="J79" s="25"/>
    </row>
    <row r="80" spans="2:12" x14ac:dyDescent="0.2">
      <c r="B80" s="25"/>
      <c r="C80" s="49"/>
      <c r="D80" s="25"/>
      <c r="E80" s="25"/>
      <c r="F80" s="25"/>
      <c r="G80" s="25"/>
      <c r="H80" s="25"/>
      <c r="I80" s="25"/>
      <c r="J80" s="25"/>
    </row>
    <row r="81" spans="2:18" x14ac:dyDescent="0.2">
      <c r="B81" s="25"/>
      <c r="C81" s="134" t="s">
        <v>110</v>
      </c>
      <c r="D81" s="25"/>
      <c r="E81" s="25"/>
      <c r="F81" s="25"/>
      <c r="G81" s="25"/>
      <c r="H81" s="25"/>
      <c r="I81" s="25"/>
      <c r="J81" s="25"/>
    </row>
    <row r="82" spans="2:18" x14ac:dyDescent="0.2">
      <c r="B82" s="25"/>
      <c r="C82" s="134"/>
      <c r="D82" s="25"/>
      <c r="E82" s="25"/>
      <c r="F82" s="25"/>
      <c r="G82" s="25"/>
      <c r="H82" s="25"/>
      <c r="I82" s="25"/>
      <c r="J82" s="25"/>
    </row>
    <row r="83" spans="2:18" x14ac:dyDescent="0.2">
      <c r="B83" s="25"/>
      <c r="C83" s="433"/>
      <c r="D83" s="433"/>
      <c r="E83" s="433"/>
      <c r="F83" s="433"/>
      <c r="G83" s="433"/>
      <c r="H83" s="433"/>
      <c r="I83" s="433"/>
      <c r="J83" s="433"/>
      <c r="K83" s="433"/>
    </row>
    <row r="84" spans="2:18" x14ac:dyDescent="0.2">
      <c r="B84" s="25"/>
      <c r="C84" s="433"/>
      <c r="D84" s="433"/>
      <c r="E84" s="433"/>
      <c r="F84" s="433"/>
      <c r="G84" s="433"/>
      <c r="H84" s="433"/>
      <c r="I84" s="433"/>
      <c r="J84" s="433"/>
      <c r="K84" s="433"/>
    </row>
    <row r="85" spans="2:18" x14ac:dyDescent="0.2">
      <c r="B85" s="25"/>
      <c r="D85" s="25"/>
      <c r="E85" s="25"/>
      <c r="F85" s="25"/>
      <c r="G85" s="25"/>
      <c r="H85" s="25"/>
      <c r="I85" s="25"/>
      <c r="J85" s="25"/>
    </row>
    <row r="86" spans="2:18" ht="14.25" customHeight="1" x14ac:dyDescent="0.2">
      <c r="C86" s="136"/>
      <c r="D86" s="142" t="s">
        <v>239</v>
      </c>
      <c r="E86" s="136"/>
      <c r="F86" s="185" t="s">
        <v>25</v>
      </c>
    </row>
    <row r="87" spans="2:18" x14ac:dyDescent="0.2">
      <c r="B87" s="206"/>
      <c r="C87" s="136">
        <f>C27</f>
        <v>1992</v>
      </c>
      <c r="D87" s="142">
        <v>411491</v>
      </c>
      <c r="E87" s="136"/>
      <c r="F87" s="142">
        <v>408157</v>
      </c>
      <c r="G87" s="206"/>
      <c r="H87" s="206"/>
      <c r="I87" s="206"/>
      <c r="J87" s="206"/>
      <c r="K87" s="206"/>
      <c r="L87" s="206"/>
      <c r="M87" s="135"/>
      <c r="O87" s="128"/>
      <c r="P87" s="128"/>
      <c r="Q87" s="128"/>
      <c r="R87" s="128"/>
    </row>
    <row r="88" spans="2:18" x14ac:dyDescent="0.2">
      <c r="C88" s="136">
        <f>C28</f>
        <v>1993</v>
      </c>
      <c r="D88" s="142">
        <v>407259</v>
      </c>
      <c r="E88" s="136"/>
      <c r="F88" s="142">
        <v>403472</v>
      </c>
    </row>
    <row r="89" spans="2:18" x14ac:dyDescent="0.2">
      <c r="C89" s="136">
        <f>C29</f>
        <v>1994</v>
      </c>
      <c r="D89" s="142">
        <v>460671</v>
      </c>
      <c r="E89" s="136"/>
      <c r="F89" s="142">
        <v>455437</v>
      </c>
    </row>
    <row r="90" spans="2:18" x14ac:dyDescent="0.2">
      <c r="C90" s="136">
        <f>C31</f>
        <v>1995</v>
      </c>
      <c r="D90" s="142">
        <v>499702</v>
      </c>
      <c r="E90" s="136"/>
      <c r="F90" s="142">
        <v>495000</v>
      </c>
    </row>
    <row r="91" spans="2:18" x14ac:dyDescent="0.2">
      <c r="C91" s="136">
        <v>1996</v>
      </c>
      <c r="D91" s="142">
        <v>497624</v>
      </c>
      <c r="E91" s="136"/>
      <c r="F91" s="142">
        <v>492993</v>
      </c>
    </row>
    <row r="92" spans="2:18" x14ac:dyDescent="0.2">
      <c r="C92" s="136">
        <v>1997</v>
      </c>
      <c r="D92" s="142">
        <v>641663</v>
      </c>
      <c r="E92" s="136"/>
      <c r="F92" s="142">
        <v>635289</v>
      </c>
    </row>
    <row r="93" spans="2:18" x14ac:dyDescent="0.2">
      <c r="C93" s="136">
        <v>1998</v>
      </c>
      <c r="D93" s="142">
        <v>622771</v>
      </c>
      <c r="E93" s="136"/>
      <c r="F93" s="142">
        <v>607214</v>
      </c>
    </row>
    <row r="94" spans="2:18" x14ac:dyDescent="0.2">
      <c r="C94" s="136">
        <v>1999</v>
      </c>
      <c r="D94" s="142">
        <v>578422</v>
      </c>
      <c r="E94" s="136"/>
      <c r="F94" s="142">
        <v>628817</v>
      </c>
    </row>
    <row r="95" spans="2:18" x14ac:dyDescent="0.2">
      <c r="C95" s="136">
        <v>2000</v>
      </c>
      <c r="D95" s="186">
        <v>781546</v>
      </c>
      <c r="E95" s="136"/>
      <c r="F95" s="186">
        <v>766935</v>
      </c>
    </row>
    <row r="96" spans="2:18" x14ac:dyDescent="0.2">
      <c r="C96" s="136">
        <v>2001</v>
      </c>
      <c r="D96" s="186">
        <v>848511</v>
      </c>
      <c r="E96" s="136"/>
      <c r="F96" s="186">
        <v>828096</v>
      </c>
    </row>
    <row r="97" spans="2:6" x14ac:dyDescent="0.2">
      <c r="C97" s="136">
        <v>2002</v>
      </c>
      <c r="D97" s="186">
        <v>1037031</v>
      </c>
      <c r="E97" s="136"/>
      <c r="F97" s="186">
        <v>1020989</v>
      </c>
    </row>
    <row r="98" spans="2:6" x14ac:dyDescent="0.2">
      <c r="C98" s="136">
        <v>2003</v>
      </c>
      <c r="D98" s="186">
        <v>1038900</v>
      </c>
      <c r="E98" s="136"/>
      <c r="F98" s="186">
        <v>996800</v>
      </c>
    </row>
    <row r="99" spans="2:6" x14ac:dyDescent="0.2">
      <c r="C99" s="136">
        <v>2004</v>
      </c>
      <c r="D99" s="186">
        <f>(964.7*1000000000)/1000000</f>
        <v>964700</v>
      </c>
      <c r="E99" s="136"/>
      <c r="F99" s="186">
        <v>923200</v>
      </c>
    </row>
    <row r="100" spans="2:6" x14ac:dyDescent="0.2">
      <c r="C100" s="136">
        <v>2005</v>
      </c>
      <c r="D100" s="186">
        <f>(1216.1*1000000000)/1000000</f>
        <v>1216100</v>
      </c>
      <c r="E100" s="136"/>
      <c r="F100" s="186">
        <f>+H43</f>
        <v>1162400</v>
      </c>
    </row>
    <row r="101" spans="2:6" x14ac:dyDescent="0.2">
      <c r="C101" s="136">
        <v>2006</v>
      </c>
      <c r="D101" s="186">
        <f>+D44</f>
        <v>1607900</v>
      </c>
      <c r="E101" s="136"/>
      <c r="F101" s="186">
        <f>+H44</f>
        <v>1598000</v>
      </c>
    </row>
    <row r="102" spans="2:6" x14ac:dyDescent="0.2">
      <c r="C102" s="136">
        <v>2007</v>
      </c>
      <c r="D102" s="186">
        <f>+D45</f>
        <v>1873600</v>
      </c>
      <c r="E102" s="136"/>
      <c r="F102" s="186">
        <f>+H45</f>
        <v>1856500</v>
      </c>
    </row>
    <row r="103" spans="2:6" x14ac:dyDescent="0.2">
      <c r="B103" s="209"/>
      <c r="C103" s="209">
        <v>2008</v>
      </c>
      <c r="D103" s="212">
        <f>+D46</f>
        <v>1799164</v>
      </c>
      <c r="E103" s="209"/>
      <c r="F103" s="212">
        <f>+H46</f>
        <v>1803289</v>
      </c>
    </row>
    <row r="104" spans="2:6" x14ac:dyDescent="0.2">
      <c r="B104" s="209"/>
      <c r="C104" s="209">
        <v>2009</v>
      </c>
      <c r="D104" s="213">
        <v>1786100</v>
      </c>
      <c r="E104" s="209"/>
      <c r="F104" s="213">
        <v>1795700</v>
      </c>
    </row>
    <row r="105" spans="2:6" x14ac:dyDescent="0.2">
      <c r="B105" s="209"/>
      <c r="C105" s="209">
        <v>2010</v>
      </c>
      <c r="D105" s="212">
        <f>D50</f>
        <v>1543735</v>
      </c>
      <c r="E105" s="209"/>
      <c r="F105" s="212">
        <f>H50</f>
        <v>1584592</v>
      </c>
    </row>
    <row r="106" spans="2:6" x14ac:dyDescent="0.2">
      <c r="B106" s="209"/>
      <c r="C106" s="214">
        <v>2011</v>
      </c>
      <c r="D106" s="212">
        <f>+D50</f>
        <v>1543735</v>
      </c>
      <c r="E106" s="209"/>
      <c r="F106" s="212">
        <f>+H50</f>
        <v>1584592</v>
      </c>
    </row>
    <row r="107" spans="2:6" x14ac:dyDescent="0.2">
      <c r="B107" s="209"/>
      <c r="C107" s="214">
        <v>2012</v>
      </c>
      <c r="D107" s="212">
        <f>D51</f>
        <v>1409321</v>
      </c>
      <c r="E107" s="209"/>
      <c r="F107" s="212">
        <f>H51</f>
        <v>1434218</v>
      </c>
    </row>
    <row r="108" spans="2:6" x14ac:dyDescent="0.2">
      <c r="B108" s="209"/>
      <c r="C108" s="209">
        <v>2013</v>
      </c>
      <c r="D108" s="212">
        <v>1377200</v>
      </c>
      <c r="E108" s="209"/>
      <c r="F108" s="212">
        <v>1366800</v>
      </c>
    </row>
    <row r="109" spans="2:6" x14ac:dyDescent="0.2">
      <c r="B109" s="209"/>
      <c r="C109" s="209">
        <v>2014</v>
      </c>
      <c r="D109" s="212">
        <v>1423029</v>
      </c>
      <c r="E109" s="209"/>
      <c r="F109" s="212">
        <v>1443356</v>
      </c>
    </row>
    <row r="110" spans="2:6" x14ac:dyDescent="0.2">
      <c r="B110" s="209"/>
      <c r="C110" s="209">
        <v>2015</v>
      </c>
      <c r="D110" s="212">
        <v>1377000</v>
      </c>
      <c r="E110" s="209"/>
      <c r="F110" s="212">
        <v>1380000</v>
      </c>
    </row>
    <row r="111" spans="2:6" x14ac:dyDescent="0.2">
      <c r="B111" s="209"/>
      <c r="C111" s="209">
        <v>2016</v>
      </c>
      <c r="D111" s="213">
        <v>1015623</v>
      </c>
      <c r="E111" s="209"/>
      <c r="F111" s="213">
        <v>985470</v>
      </c>
    </row>
    <row r="112" spans="2:6" x14ac:dyDescent="0.2">
      <c r="B112" s="209"/>
      <c r="C112" s="209">
        <v>2017</v>
      </c>
      <c r="D112" s="213">
        <v>914692</v>
      </c>
      <c r="E112" s="209"/>
      <c r="F112" s="213">
        <v>874427</v>
      </c>
    </row>
    <row r="113" spans="2:6" x14ac:dyDescent="0.2">
      <c r="B113" s="209"/>
      <c r="C113" s="210">
        <v>2018</v>
      </c>
      <c r="D113" s="213">
        <v>652463</v>
      </c>
      <c r="E113" s="209"/>
      <c r="F113" s="213">
        <v>622186</v>
      </c>
    </row>
    <row r="114" spans="2:6" x14ac:dyDescent="0.2">
      <c r="B114" s="209"/>
      <c r="C114" s="209">
        <v>2019</v>
      </c>
      <c r="D114" s="213">
        <v>639524</v>
      </c>
      <c r="E114" s="209"/>
      <c r="F114" s="213">
        <v>609685</v>
      </c>
    </row>
    <row r="115" spans="2:6" x14ac:dyDescent="0.2">
      <c r="B115" s="209"/>
      <c r="C115" s="209">
        <v>2020</v>
      </c>
      <c r="D115" s="213">
        <v>578970</v>
      </c>
      <c r="E115" s="209"/>
      <c r="F115" s="213">
        <v>537752</v>
      </c>
    </row>
    <row r="116" spans="2:6" x14ac:dyDescent="0.2">
      <c r="B116" s="209"/>
      <c r="C116" s="209"/>
      <c r="D116" s="209"/>
      <c r="E116" s="209"/>
      <c r="F116" s="209"/>
    </row>
    <row r="117" spans="2:6" x14ac:dyDescent="0.2">
      <c r="B117" s="209"/>
      <c r="C117" s="209"/>
      <c r="D117" s="209"/>
      <c r="E117" s="209"/>
      <c r="F117" s="209"/>
    </row>
    <row r="118" spans="2:6" x14ac:dyDescent="0.2">
      <c r="B118" s="209"/>
      <c r="C118" s="209"/>
      <c r="D118" s="209"/>
      <c r="E118" s="209"/>
      <c r="F118" s="209"/>
    </row>
  </sheetData>
  <mergeCells count="2">
    <mergeCell ref="C5:J5"/>
    <mergeCell ref="C83:K84"/>
  </mergeCells>
  <phoneticPr fontId="7" type="noConversion"/>
  <printOptions horizontalCentered="1"/>
  <pageMargins left="1" right="1" top="0.66" bottom="0.68" header="0.5" footer="0.5"/>
  <pageSetup scale="76" fitToWidth="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7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66675</xdr:rowOff>
              </from>
              <to>
                <xdr:col>2</xdr:col>
                <xdr:colOff>285750</xdr:colOff>
                <xdr:row>2</xdr:row>
                <xdr:rowOff>9525</xdr:rowOff>
              </to>
            </anchor>
          </objectPr>
        </oleObject>
      </mc:Choice>
      <mc:Fallback>
        <oleObject progId="MSPhotoEd.3" shapeId="6147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2:AQ97"/>
  <sheetViews>
    <sheetView zoomScaleNormal="100" zoomScaleSheetLayoutView="100" workbookViewId="0">
      <selection activeCell="L41" sqref="L41"/>
    </sheetView>
  </sheetViews>
  <sheetFormatPr defaultRowHeight="12.75" x14ac:dyDescent="0.2"/>
  <cols>
    <col min="1" max="1" width="9.140625" style="17"/>
    <col min="2" max="2" width="9" style="17" customWidth="1"/>
    <col min="3" max="8" width="9.7109375" style="17" customWidth="1"/>
    <col min="9" max="9" width="11.7109375" style="17" customWidth="1"/>
    <col min="10" max="10" width="10.5703125" style="17" customWidth="1"/>
    <col min="11" max="16384" width="9.140625" style="17"/>
  </cols>
  <sheetData>
    <row r="2" spans="2:43" x14ac:dyDescent="0.2">
      <c r="I2" s="144" t="s">
        <v>253</v>
      </c>
    </row>
    <row r="4" spans="2:43" ht="15" x14ac:dyDescent="0.25">
      <c r="J4" s="31"/>
      <c r="K4" s="208"/>
    </row>
    <row r="7" spans="2:43" ht="15.75" x14ac:dyDescent="0.25">
      <c r="B7" s="164">
        <v>12.07</v>
      </c>
      <c r="C7" s="131"/>
      <c r="D7" s="399" t="s">
        <v>262</v>
      </c>
      <c r="E7" s="399"/>
      <c r="F7" s="399"/>
      <c r="G7" s="399"/>
      <c r="H7" s="399"/>
      <c r="I7" s="399"/>
      <c r="J7" s="399"/>
      <c r="K7" s="176"/>
    </row>
    <row r="9" spans="2:43" x14ac:dyDescent="0.2">
      <c r="L9" s="25"/>
    </row>
    <row r="10" spans="2:43" ht="39.75" customHeight="1" x14ac:dyDescent="0.2">
      <c r="C10" s="330" t="s">
        <v>0</v>
      </c>
      <c r="D10" s="318" t="s">
        <v>263</v>
      </c>
      <c r="E10" s="318" t="s">
        <v>264</v>
      </c>
      <c r="F10" s="318" t="s">
        <v>265</v>
      </c>
      <c r="G10" s="318" t="s">
        <v>266</v>
      </c>
      <c r="H10" s="331" t="s">
        <v>91</v>
      </c>
      <c r="I10" s="331" t="s">
        <v>28</v>
      </c>
      <c r="J10" s="331" t="s">
        <v>92</v>
      </c>
      <c r="K10" s="25"/>
      <c r="L10" s="25"/>
    </row>
    <row r="12" spans="2:43" hidden="1" x14ac:dyDescent="0.2">
      <c r="C12" s="206">
        <v>1972</v>
      </c>
      <c r="D12" s="221"/>
      <c r="E12" s="221">
        <v>23</v>
      </c>
      <c r="F12" s="221"/>
      <c r="G12" s="221">
        <v>58</v>
      </c>
      <c r="H12" s="221"/>
      <c r="I12" s="221">
        <f>SUM(D12:H12)</f>
        <v>81</v>
      </c>
      <c r="J12" s="221"/>
      <c r="AQ12" s="17">
        <v>4932.3999999999996</v>
      </c>
    </row>
    <row r="13" spans="2:43" hidden="1" x14ac:dyDescent="0.2">
      <c r="C13" s="206">
        <v>1973</v>
      </c>
      <c r="D13" s="221"/>
      <c r="E13" s="221">
        <v>30</v>
      </c>
      <c r="F13" s="221"/>
      <c r="G13" s="221">
        <v>116</v>
      </c>
      <c r="H13" s="221"/>
      <c r="I13" s="221">
        <f>SUM(D13:H13)</f>
        <v>146</v>
      </c>
      <c r="J13" s="221"/>
      <c r="AQ13" s="17">
        <v>2281.6999999999998</v>
      </c>
    </row>
    <row r="14" spans="2:43" hidden="1" x14ac:dyDescent="0.2">
      <c r="C14" s="206">
        <v>1974</v>
      </c>
      <c r="D14" s="221"/>
      <c r="E14" s="221">
        <v>33</v>
      </c>
      <c r="F14" s="221"/>
      <c r="G14" s="221">
        <v>153</v>
      </c>
      <c r="H14" s="221"/>
      <c r="I14" s="221">
        <f>SUM(D14:H14)</f>
        <v>186</v>
      </c>
      <c r="J14" s="221"/>
      <c r="AQ14" s="17">
        <v>100.2</v>
      </c>
    </row>
    <row r="15" spans="2:43" hidden="1" x14ac:dyDescent="0.2">
      <c r="C15" s="206">
        <v>1975</v>
      </c>
      <c r="D15" s="221"/>
      <c r="E15" s="221">
        <v>36</v>
      </c>
      <c r="F15" s="221"/>
      <c r="G15" s="221">
        <v>158</v>
      </c>
      <c r="H15" s="221"/>
      <c r="I15" s="221">
        <f>SUM(D15:H15)</f>
        <v>194</v>
      </c>
      <c r="J15" s="221"/>
      <c r="AQ15" s="17">
        <v>2181.5</v>
      </c>
    </row>
    <row r="16" spans="2:43" hidden="1" x14ac:dyDescent="0.2">
      <c r="C16" s="206">
        <v>1976</v>
      </c>
      <c r="D16" s="221"/>
      <c r="E16" s="221">
        <v>35</v>
      </c>
      <c r="F16" s="221"/>
      <c r="G16" s="221">
        <v>181</v>
      </c>
      <c r="H16" s="221"/>
      <c r="I16" s="221">
        <f>SUM(D16:H16)</f>
        <v>216</v>
      </c>
      <c r="J16" s="221"/>
      <c r="AQ16" s="17">
        <v>2650.7</v>
      </c>
    </row>
    <row r="17" spans="3:43" hidden="1" x14ac:dyDescent="0.2">
      <c r="C17" s="206"/>
      <c r="D17" s="221"/>
      <c r="E17" s="221"/>
      <c r="F17" s="221"/>
      <c r="G17" s="221"/>
      <c r="H17" s="221"/>
      <c r="I17" s="221"/>
      <c r="J17" s="221"/>
      <c r="AQ17" s="17">
        <v>2971.2</v>
      </c>
    </row>
    <row r="18" spans="3:43" hidden="1" x14ac:dyDescent="0.2">
      <c r="C18" s="206">
        <v>1977</v>
      </c>
      <c r="D18" s="221"/>
      <c r="E18" s="221">
        <v>29</v>
      </c>
      <c r="F18" s="221"/>
      <c r="G18" s="221">
        <v>208</v>
      </c>
      <c r="H18" s="221"/>
      <c r="I18" s="221">
        <f>SUM(D18:H18)</f>
        <v>237</v>
      </c>
      <c r="J18" s="221"/>
      <c r="AQ18" s="17">
        <v>243.6</v>
      </c>
    </row>
    <row r="19" spans="3:43" hidden="1" x14ac:dyDescent="0.2">
      <c r="C19" s="206">
        <v>1978</v>
      </c>
      <c r="D19" s="221"/>
      <c r="E19" s="221">
        <v>29</v>
      </c>
      <c r="F19" s="221"/>
      <c r="G19" s="221">
        <v>232</v>
      </c>
      <c r="H19" s="221"/>
      <c r="I19" s="221">
        <f>SUM(D19:H19)</f>
        <v>261</v>
      </c>
      <c r="J19" s="221"/>
      <c r="AQ19" s="17">
        <v>70.099999999999994</v>
      </c>
    </row>
    <row r="20" spans="3:43" hidden="1" x14ac:dyDescent="0.2">
      <c r="C20" s="206">
        <v>1979</v>
      </c>
      <c r="D20" s="221"/>
      <c r="E20" s="221">
        <v>31</v>
      </c>
      <c r="F20" s="221"/>
      <c r="G20" s="221">
        <v>260</v>
      </c>
      <c r="H20" s="221"/>
      <c r="I20" s="221">
        <f>SUM(D20:H20)</f>
        <v>291</v>
      </c>
      <c r="J20" s="221"/>
      <c r="AQ20" s="17">
        <v>2657.5</v>
      </c>
    </row>
    <row r="21" spans="3:43" hidden="1" x14ac:dyDescent="0.2">
      <c r="C21" s="206">
        <v>1980</v>
      </c>
      <c r="D21" s="221"/>
      <c r="E21" s="221">
        <v>31</v>
      </c>
      <c r="F21" s="221"/>
      <c r="G21" s="221">
        <v>293</v>
      </c>
      <c r="H21" s="221"/>
      <c r="I21" s="221">
        <f>SUM(D21:H21)</f>
        <v>324</v>
      </c>
      <c r="J21" s="221"/>
      <c r="AQ21" s="17">
        <v>-320.5</v>
      </c>
    </row>
    <row r="22" spans="3:43" hidden="1" x14ac:dyDescent="0.2">
      <c r="C22" s="206">
        <v>1981</v>
      </c>
      <c r="D22" s="221"/>
      <c r="E22" s="221">
        <v>31</v>
      </c>
      <c r="F22" s="221"/>
      <c r="G22" s="221">
        <v>362</v>
      </c>
      <c r="H22" s="221"/>
      <c r="I22" s="221">
        <f>SUM(D22:H22)</f>
        <v>393</v>
      </c>
      <c r="J22" s="221"/>
    </row>
    <row r="23" spans="3:43" hidden="1" x14ac:dyDescent="0.2">
      <c r="C23" s="206"/>
      <c r="D23" s="221"/>
      <c r="E23" s="221"/>
      <c r="F23" s="221"/>
      <c r="G23" s="221"/>
      <c r="H23" s="221"/>
      <c r="I23" s="221"/>
      <c r="J23" s="221"/>
      <c r="AQ23" s="17">
        <v>4932.3999999999996</v>
      </c>
    </row>
    <row r="24" spans="3:43" hidden="1" x14ac:dyDescent="0.2">
      <c r="C24" s="206">
        <v>1982</v>
      </c>
      <c r="D24" s="221"/>
      <c r="E24" s="221">
        <v>33</v>
      </c>
      <c r="F24" s="221"/>
      <c r="G24" s="221">
        <v>395</v>
      </c>
      <c r="H24" s="221"/>
      <c r="I24" s="221">
        <f>SUM(D24:H24)</f>
        <v>428</v>
      </c>
      <c r="J24" s="221"/>
      <c r="AQ24" s="17">
        <v>1209.0999999999999</v>
      </c>
    </row>
    <row r="25" spans="3:43" hidden="1" x14ac:dyDescent="0.2">
      <c r="C25" s="206">
        <v>1983</v>
      </c>
      <c r="D25" s="221"/>
      <c r="E25" s="221">
        <v>32</v>
      </c>
      <c r="F25" s="221"/>
      <c r="G25" s="221">
        <v>420</v>
      </c>
      <c r="H25" s="221"/>
      <c r="I25" s="221">
        <f>SUM(D25:H25)</f>
        <v>452</v>
      </c>
      <c r="J25" s="221"/>
      <c r="AQ25" s="17">
        <v>95.5</v>
      </c>
    </row>
    <row r="26" spans="3:43" hidden="1" x14ac:dyDescent="0.2">
      <c r="C26" s="206">
        <v>1984</v>
      </c>
      <c r="D26" s="221"/>
      <c r="E26" s="221">
        <v>31</v>
      </c>
      <c r="F26" s="221"/>
      <c r="G26" s="221">
        <v>428</v>
      </c>
      <c r="H26" s="221"/>
      <c r="I26" s="221">
        <f>SUM(D26:H26)</f>
        <v>459</v>
      </c>
      <c r="J26" s="221"/>
      <c r="AQ26" s="17">
        <v>1113.5999999999999</v>
      </c>
    </row>
    <row r="27" spans="3:43" hidden="1" x14ac:dyDescent="0.2">
      <c r="C27" s="206">
        <v>1985</v>
      </c>
      <c r="D27" s="221"/>
      <c r="E27" s="221">
        <v>31</v>
      </c>
      <c r="F27" s="221"/>
      <c r="G27" s="221">
        <v>450</v>
      </c>
      <c r="H27" s="221"/>
      <c r="I27" s="221">
        <f>SUM(D27:H27)</f>
        <v>481</v>
      </c>
      <c r="J27" s="221"/>
      <c r="AQ27" s="17">
        <v>460.6</v>
      </c>
    </row>
    <row r="28" spans="3:43" hidden="1" x14ac:dyDescent="0.2">
      <c r="C28" s="206">
        <v>1986</v>
      </c>
      <c r="D28" s="221"/>
      <c r="E28" s="221">
        <v>30</v>
      </c>
      <c r="F28" s="221"/>
      <c r="G28" s="221">
        <v>468</v>
      </c>
      <c r="H28" s="221"/>
      <c r="I28" s="221">
        <f>SUM(D28:H28)</f>
        <v>498</v>
      </c>
      <c r="J28" s="221"/>
      <c r="AQ28" s="17">
        <v>653</v>
      </c>
    </row>
    <row r="29" spans="3:43" hidden="1" x14ac:dyDescent="0.2">
      <c r="C29" s="206"/>
      <c r="D29" s="221"/>
      <c r="E29" s="221"/>
      <c r="F29" s="221"/>
      <c r="G29" s="221"/>
      <c r="H29" s="221"/>
      <c r="I29" s="221"/>
      <c r="J29" s="221"/>
      <c r="AQ29" s="17">
        <v>3723.3</v>
      </c>
    </row>
    <row r="30" spans="3:43" hidden="1" x14ac:dyDescent="0.2">
      <c r="C30" s="206">
        <v>1987</v>
      </c>
      <c r="D30" s="332"/>
      <c r="E30" s="221">
        <v>32</v>
      </c>
      <c r="F30" s="221"/>
      <c r="G30" s="221">
        <v>476</v>
      </c>
      <c r="H30" s="221"/>
      <c r="I30" s="221">
        <f t="shared" ref="I30:I38" si="0">SUM(D30:H30)</f>
        <v>508</v>
      </c>
      <c r="J30" s="221"/>
      <c r="AQ30" s="17">
        <v>3382</v>
      </c>
    </row>
    <row r="31" spans="3:43" hidden="1" x14ac:dyDescent="0.2">
      <c r="C31" s="206">
        <v>1988</v>
      </c>
      <c r="D31" s="332"/>
      <c r="E31" s="221">
        <v>35</v>
      </c>
      <c r="F31" s="221"/>
      <c r="G31" s="221">
        <v>492</v>
      </c>
      <c r="H31" s="221"/>
      <c r="I31" s="221">
        <f t="shared" si="0"/>
        <v>527</v>
      </c>
      <c r="J31" s="221"/>
    </row>
    <row r="32" spans="3:43" hidden="1" x14ac:dyDescent="0.2">
      <c r="C32" s="206">
        <v>1989</v>
      </c>
      <c r="D32" s="332"/>
      <c r="E32" s="221">
        <v>35</v>
      </c>
      <c r="F32" s="221"/>
      <c r="G32" s="221">
        <v>503</v>
      </c>
      <c r="H32" s="221"/>
      <c r="I32" s="221">
        <f t="shared" si="0"/>
        <v>538</v>
      </c>
      <c r="J32" s="221"/>
    </row>
    <row r="33" spans="2:11" hidden="1" x14ac:dyDescent="0.2">
      <c r="C33" s="206">
        <v>1990</v>
      </c>
      <c r="D33" s="332"/>
      <c r="E33" s="221">
        <v>34</v>
      </c>
      <c r="F33" s="221"/>
      <c r="G33" s="221">
        <v>512</v>
      </c>
      <c r="H33" s="221"/>
      <c r="I33" s="221">
        <f t="shared" si="0"/>
        <v>546</v>
      </c>
      <c r="J33" s="221"/>
    </row>
    <row r="34" spans="2:11" x14ac:dyDescent="0.2">
      <c r="C34" s="206">
        <v>1991</v>
      </c>
      <c r="D34" s="332">
        <v>4</v>
      </c>
      <c r="E34" s="221">
        <v>28</v>
      </c>
      <c r="F34" s="221">
        <v>274</v>
      </c>
      <c r="G34" s="221">
        <v>201</v>
      </c>
      <c r="H34" s="221">
        <v>37</v>
      </c>
      <c r="I34" s="221">
        <f t="shared" si="0"/>
        <v>544</v>
      </c>
      <c r="J34" s="333">
        <v>55</v>
      </c>
    </row>
    <row r="35" spans="2:11" x14ac:dyDescent="0.2">
      <c r="C35" s="206">
        <v>1992</v>
      </c>
      <c r="D35" s="332">
        <v>4</v>
      </c>
      <c r="E35" s="221">
        <v>26</v>
      </c>
      <c r="F35" s="221">
        <v>265</v>
      </c>
      <c r="G35" s="221">
        <v>199</v>
      </c>
      <c r="H35" s="221">
        <v>38</v>
      </c>
      <c r="I35" s="221">
        <f t="shared" si="0"/>
        <v>532</v>
      </c>
      <c r="J35" s="333">
        <v>56</v>
      </c>
    </row>
    <row r="36" spans="2:11" x14ac:dyDescent="0.2">
      <c r="C36" s="206">
        <v>1993</v>
      </c>
      <c r="D36" s="332">
        <v>5</v>
      </c>
      <c r="E36" s="221">
        <v>26</v>
      </c>
      <c r="F36" s="221">
        <v>266</v>
      </c>
      <c r="G36" s="221">
        <v>196</v>
      </c>
      <c r="H36" s="221">
        <v>44</v>
      </c>
      <c r="I36" s="221">
        <f t="shared" si="0"/>
        <v>537</v>
      </c>
      <c r="J36" s="333">
        <v>55</v>
      </c>
    </row>
    <row r="37" spans="2:11" x14ac:dyDescent="0.2">
      <c r="C37" s="206">
        <v>1994</v>
      </c>
      <c r="D37" s="332">
        <v>5</v>
      </c>
      <c r="E37" s="221">
        <v>26</v>
      </c>
      <c r="F37" s="221">
        <v>278</v>
      </c>
      <c r="G37" s="221">
        <v>198</v>
      </c>
      <c r="H37" s="221">
        <v>53</v>
      </c>
      <c r="I37" s="221">
        <f t="shared" si="0"/>
        <v>560</v>
      </c>
      <c r="J37" s="333">
        <v>82</v>
      </c>
    </row>
    <row r="38" spans="2:11" x14ac:dyDescent="0.2">
      <c r="C38" s="206">
        <v>1995</v>
      </c>
      <c r="D38" s="332">
        <v>4</v>
      </c>
      <c r="E38" s="221">
        <v>25</v>
      </c>
      <c r="F38" s="221">
        <v>278</v>
      </c>
      <c r="G38" s="221">
        <v>194</v>
      </c>
      <c r="H38" s="221">
        <v>63</v>
      </c>
      <c r="I38" s="221">
        <f t="shared" si="0"/>
        <v>564</v>
      </c>
      <c r="J38" s="333">
        <v>84</v>
      </c>
    </row>
    <row r="39" spans="2:11" x14ac:dyDescent="0.2">
      <c r="C39" s="206"/>
      <c r="D39" s="332"/>
      <c r="E39" s="221"/>
      <c r="F39" s="221"/>
      <c r="G39" s="221"/>
      <c r="H39" s="221"/>
      <c r="I39" s="221"/>
      <c r="J39" s="333"/>
    </row>
    <row r="40" spans="2:11" x14ac:dyDescent="0.2">
      <c r="C40" s="206">
        <v>1996</v>
      </c>
      <c r="D40" s="332">
        <v>4</v>
      </c>
      <c r="E40" s="221">
        <v>24</v>
      </c>
      <c r="F40" s="221">
        <v>278</v>
      </c>
      <c r="G40" s="221">
        <v>193</v>
      </c>
      <c r="H40" s="221">
        <v>78</v>
      </c>
      <c r="I40" s="221">
        <f>SUM(D40:H40)</f>
        <v>577</v>
      </c>
      <c r="J40" s="333">
        <v>93</v>
      </c>
    </row>
    <row r="41" spans="2:11" x14ac:dyDescent="0.2">
      <c r="C41" s="206">
        <v>1997</v>
      </c>
      <c r="D41" s="332">
        <v>4</v>
      </c>
      <c r="E41" s="221">
        <v>26</v>
      </c>
      <c r="F41" s="221">
        <v>288</v>
      </c>
      <c r="G41" s="221">
        <v>187</v>
      </c>
      <c r="H41" s="221">
        <v>89</v>
      </c>
      <c r="I41" s="221">
        <f t="shared" ref="I41:I53" si="1">SUM(D41:H41)</f>
        <v>594</v>
      </c>
      <c r="J41" s="333">
        <v>98</v>
      </c>
    </row>
    <row r="42" spans="2:11" x14ac:dyDescent="0.2">
      <c r="B42" s="25"/>
      <c r="C42" s="319">
        <v>1998</v>
      </c>
      <c r="D42" s="334">
        <v>4</v>
      </c>
      <c r="E42" s="246">
        <v>26</v>
      </c>
      <c r="F42" s="246">
        <v>277</v>
      </c>
      <c r="G42" s="246">
        <v>180</v>
      </c>
      <c r="H42" s="246">
        <v>97</v>
      </c>
      <c r="I42" s="221">
        <f t="shared" si="1"/>
        <v>584</v>
      </c>
      <c r="J42" s="335">
        <v>98</v>
      </c>
      <c r="K42" s="25"/>
    </row>
    <row r="43" spans="2:11" x14ac:dyDescent="0.2">
      <c r="B43" s="25"/>
      <c r="C43" s="319">
        <v>1999</v>
      </c>
      <c r="D43" s="334">
        <v>4</v>
      </c>
      <c r="E43" s="246">
        <v>27</v>
      </c>
      <c r="F43" s="246">
        <v>262</v>
      </c>
      <c r="G43" s="246">
        <v>168</v>
      </c>
      <c r="H43" s="246">
        <v>109</v>
      </c>
      <c r="I43" s="221">
        <f t="shared" si="1"/>
        <v>570</v>
      </c>
      <c r="J43" s="335">
        <v>110</v>
      </c>
      <c r="K43" s="25"/>
    </row>
    <row r="44" spans="2:11" x14ac:dyDescent="0.2">
      <c r="B44" s="25"/>
      <c r="C44" s="319">
        <v>2000</v>
      </c>
      <c r="D44" s="334">
        <v>4</v>
      </c>
      <c r="E44" s="246">
        <v>27</v>
      </c>
      <c r="F44" s="246">
        <v>267</v>
      </c>
      <c r="G44" s="246">
        <v>166</v>
      </c>
      <c r="H44" s="246">
        <v>116</v>
      </c>
      <c r="I44" s="221">
        <f t="shared" si="1"/>
        <v>580</v>
      </c>
      <c r="J44" s="335">
        <v>109</v>
      </c>
      <c r="K44" s="25"/>
    </row>
    <row r="45" spans="2:11" x14ac:dyDescent="0.2">
      <c r="B45" s="25"/>
      <c r="C45" s="319"/>
      <c r="D45" s="334"/>
      <c r="E45" s="246"/>
      <c r="F45" s="246"/>
      <c r="G45" s="246"/>
      <c r="H45" s="246"/>
      <c r="I45" s="221"/>
      <c r="J45" s="335"/>
      <c r="K45" s="25"/>
    </row>
    <row r="46" spans="2:11" x14ac:dyDescent="0.2">
      <c r="B46" s="25"/>
      <c r="C46" s="319">
        <v>2001</v>
      </c>
      <c r="D46" s="334">
        <v>4</v>
      </c>
      <c r="E46" s="246">
        <v>27</v>
      </c>
      <c r="F46" s="246">
        <v>243</v>
      </c>
      <c r="G46" s="246">
        <v>153</v>
      </c>
      <c r="H46" s="246">
        <v>118</v>
      </c>
      <c r="I46" s="221">
        <f t="shared" si="1"/>
        <v>545</v>
      </c>
      <c r="J46" s="335">
        <v>115</v>
      </c>
      <c r="K46" s="25"/>
    </row>
    <row r="47" spans="2:11" x14ac:dyDescent="0.2">
      <c r="B47" s="25"/>
      <c r="C47" s="336">
        <v>2002</v>
      </c>
      <c r="D47" s="337">
        <v>4</v>
      </c>
      <c r="E47" s="326">
        <v>26</v>
      </c>
      <c r="F47" s="326">
        <v>213</v>
      </c>
      <c r="G47" s="326">
        <v>140</v>
      </c>
      <c r="H47" s="326">
        <v>125</v>
      </c>
      <c r="I47" s="221">
        <f t="shared" si="1"/>
        <v>508</v>
      </c>
      <c r="J47" s="338">
        <v>117</v>
      </c>
      <c r="K47" s="25"/>
    </row>
    <row r="48" spans="2:11" x14ac:dyDescent="0.2">
      <c r="B48" s="25"/>
      <c r="C48" s="336">
        <v>2003</v>
      </c>
      <c r="D48" s="337">
        <v>4</v>
      </c>
      <c r="E48" s="326">
        <v>23</v>
      </c>
      <c r="F48" s="326">
        <v>192</v>
      </c>
      <c r="G48" s="326">
        <v>130</v>
      </c>
      <c r="H48" s="326">
        <v>122</v>
      </c>
      <c r="I48" s="221">
        <f t="shared" si="1"/>
        <v>471</v>
      </c>
      <c r="J48" s="338">
        <v>106</v>
      </c>
      <c r="K48" s="25"/>
    </row>
    <row r="49" spans="2:11" x14ac:dyDescent="0.2">
      <c r="B49" s="25"/>
      <c r="C49" s="336">
        <v>2004</v>
      </c>
      <c r="D49" s="337">
        <v>3</v>
      </c>
      <c r="E49" s="326">
        <v>20</v>
      </c>
      <c r="F49" s="326">
        <v>180</v>
      </c>
      <c r="G49" s="326">
        <v>119</v>
      </c>
      <c r="H49" s="326">
        <v>124</v>
      </c>
      <c r="I49" s="221">
        <f t="shared" si="1"/>
        <v>446</v>
      </c>
      <c r="J49" s="338">
        <v>99</v>
      </c>
      <c r="K49" s="25"/>
    </row>
    <row r="50" spans="2:11" x14ac:dyDescent="0.2">
      <c r="B50" s="25"/>
      <c r="C50" s="336">
        <v>2005</v>
      </c>
      <c r="D50" s="337">
        <v>3</v>
      </c>
      <c r="E50" s="326">
        <v>18</v>
      </c>
      <c r="F50" s="326">
        <v>169</v>
      </c>
      <c r="G50" s="326">
        <v>115</v>
      </c>
      <c r="H50" s="326">
        <v>127</v>
      </c>
      <c r="I50" s="221">
        <f t="shared" si="1"/>
        <v>432</v>
      </c>
      <c r="J50" s="338">
        <v>99</v>
      </c>
      <c r="K50" s="25"/>
    </row>
    <row r="51" spans="2:11" x14ac:dyDescent="0.2">
      <c r="B51" s="25"/>
      <c r="C51" s="336"/>
      <c r="D51" s="337"/>
      <c r="E51" s="326"/>
      <c r="F51" s="326"/>
      <c r="G51" s="326"/>
      <c r="H51" s="326"/>
      <c r="I51" s="221"/>
      <c r="J51" s="338"/>
      <c r="K51" s="25"/>
    </row>
    <row r="52" spans="2:11" s="130" customFormat="1" x14ac:dyDescent="0.2">
      <c r="B52" s="123"/>
      <c r="C52" s="336">
        <v>2006</v>
      </c>
      <c r="D52" s="337">
        <v>3</v>
      </c>
      <c r="E52" s="326">
        <v>16</v>
      </c>
      <c r="F52" s="326">
        <v>160</v>
      </c>
      <c r="G52" s="326">
        <v>112</v>
      </c>
      <c r="H52" s="326">
        <v>134</v>
      </c>
      <c r="I52" s="221">
        <f t="shared" si="1"/>
        <v>425</v>
      </c>
      <c r="J52" s="338">
        <v>97</v>
      </c>
      <c r="K52" s="123"/>
    </row>
    <row r="53" spans="2:11" s="130" customFormat="1" x14ac:dyDescent="0.2">
      <c r="B53" s="123"/>
      <c r="C53" s="336">
        <v>2007</v>
      </c>
      <c r="D53" s="337">
        <v>5</v>
      </c>
      <c r="E53" s="326">
        <v>14</v>
      </c>
      <c r="F53" s="326">
        <v>156</v>
      </c>
      <c r="G53" s="326">
        <v>106</v>
      </c>
      <c r="H53" s="326">
        <v>138</v>
      </c>
      <c r="I53" s="326">
        <f t="shared" si="1"/>
        <v>419</v>
      </c>
      <c r="J53" s="338">
        <v>85</v>
      </c>
      <c r="K53" s="123"/>
    </row>
    <row r="54" spans="2:11" x14ac:dyDescent="0.2">
      <c r="B54" s="25"/>
      <c r="C54" s="319">
        <v>2008</v>
      </c>
      <c r="D54" s="246">
        <v>5</v>
      </c>
      <c r="E54" s="246">
        <v>13</v>
      </c>
      <c r="F54" s="246">
        <v>164</v>
      </c>
      <c r="G54" s="246">
        <v>96</v>
      </c>
      <c r="H54" s="246">
        <v>141</v>
      </c>
      <c r="I54" s="246">
        <f>SUM(D54:H54)</f>
        <v>419</v>
      </c>
      <c r="J54" s="246">
        <v>79</v>
      </c>
      <c r="K54" s="25"/>
    </row>
    <row r="55" spans="2:11" x14ac:dyDescent="0.2">
      <c r="B55" s="25"/>
      <c r="C55" s="319">
        <v>2009</v>
      </c>
      <c r="D55" s="246">
        <v>5</v>
      </c>
      <c r="E55" s="246">
        <v>12</v>
      </c>
      <c r="F55" s="246">
        <v>154</v>
      </c>
      <c r="G55" s="246">
        <v>95</v>
      </c>
      <c r="H55" s="246">
        <v>138</v>
      </c>
      <c r="I55" s="246">
        <f>SUM(D55:H55)</f>
        <v>404</v>
      </c>
      <c r="J55" s="246">
        <v>80</v>
      </c>
      <c r="K55" s="25"/>
    </row>
    <row r="56" spans="2:11" x14ac:dyDescent="0.2">
      <c r="B56" s="25"/>
      <c r="C56" s="319">
        <v>2010</v>
      </c>
      <c r="D56" s="246">
        <v>5</v>
      </c>
      <c r="E56" s="246">
        <v>12</v>
      </c>
      <c r="F56" s="246">
        <v>142</v>
      </c>
      <c r="G56" s="246">
        <v>85</v>
      </c>
      <c r="H56" s="246">
        <v>127</v>
      </c>
      <c r="I56" s="246">
        <f>SUM(D56:H56)</f>
        <v>371</v>
      </c>
      <c r="J56" s="246">
        <v>67</v>
      </c>
      <c r="K56" s="25"/>
    </row>
    <row r="57" spans="2:11" x14ac:dyDescent="0.2">
      <c r="B57" s="25"/>
      <c r="C57" s="319"/>
      <c r="D57" s="246"/>
      <c r="E57" s="246"/>
      <c r="F57" s="246"/>
      <c r="G57" s="246"/>
      <c r="H57" s="246"/>
      <c r="I57" s="246"/>
      <c r="J57" s="246"/>
      <c r="K57" s="25"/>
    </row>
    <row r="58" spans="2:11" x14ac:dyDescent="0.2">
      <c r="B58" s="25"/>
      <c r="C58" s="319">
        <v>2011</v>
      </c>
      <c r="D58" s="246">
        <v>3</v>
      </c>
      <c r="E58" s="246">
        <v>12</v>
      </c>
      <c r="F58" s="246">
        <v>136</v>
      </c>
      <c r="G58" s="246">
        <v>83</v>
      </c>
      <c r="H58" s="246">
        <v>123</v>
      </c>
      <c r="I58" s="246">
        <f t="shared" ref="I58:I64" si="2">SUM(D58:H58)</f>
        <v>357</v>
      </c>
      <c r="J58" s="337">
        <v>39</v>
      </c>
      <c r="K58" s="25"/>
    </row>
    <row r="59" spans="2:11" x14ac:dyDescent="0.2">
      <c r="B59" s="25"/>
      <c r="C59" s="319">
        <v>2012</v>
      </c>
      <c r="D59" s="246">
        <v>3</v>
      </c>
      <c r="E59" s="246">
        <v>12</v>
      </c>
      <c r="F59" s="246">
        <v>129</v>
      </c>
      <c r="G59" s="246">
        <v>78</v>
      </c>
      <c r="H59" s="246">
        <v>118</v>
      </c>
      <c r="I59" s="246">
        <f t="shared" si="2"/>
        <v>340</v>
      </c>
      <c r="J59" s="337">
        <v>36</v>
      </c>
      <c r="K59" s="25"/>
    </row>
    <row r="60" spans="2:11" x14ac:dyDescent="0.2">
      <c r="B60" s="25"/>
      <c r="C60" s="319">
        <v>2013</v>
      </c>
      <c r="D60" s="326">
        <v>3</v>
      </c>
      <c r="E60" s="326">
        <v>12</v>
      </c>
      <c r="F60" s="326">
        <v>125</v>
      </c>
      <c r="G60" s="326">
        <v>73</v>
      </c>
      <c r="H60" s="326">
        <v>117</v>
      </c>
      <c r="I60" s="326">
        <f t="shared" si="2"/>
        <v>330</v>
      </c>
      <c r="J60" s="337">
        <v>34</v>
      </c>
      <c r="K60" s="25"/>
    </row>
    <row r="61" spans="2:11" x14ac:dyDescent="0.2">
      <c r="B61" s="25"/>
      <c r="C61" s="319">
        <v>2014</v>
      </c>
      <c r="D61" s="326">
        <v>3</v>
      </c>
      <c r="E61" s="326">
        <v>10</v>
      </c>
      <c r="F61" s="326">
        <v>119</v>
      </c>
      <c r="G61" s="326">
        <v>66</v>
      </c>
      <c r="H61" s="326">
        <v>110</v>
      </c>
      <c r="I61" s="326">
        <f t="shared" si="2"/>
        <v>308</v>
      </c>
      <c r="J61" s="337">
        <v>29</v>
      </c>
      <c r="K61" s="25"/>
    </row>
    <row r="62" spans="2:11" x14ac:dyDescent="0.2">
      <c r="B62" s="25"/>
      <c r="C62" s="319">
        <v>2015</v>
      </c>
      <c r="D62" s="326">
        <v>3</v>
      </c>
      <c r="E62" s="326">
        <v>9</v>
      </c>
      <c r="F62" s="326">
        <v>111</v>
      </c>
      <c r="G62" s="326">
        <v>61</v>
      </c>
      <c r="H62" s="326">
        <v>118</v>
      </c>
      <c r="I62" s="326">
        <f t="shared" si="2"/>
        <v>302</v>
      </c>
      <c r="J62" s="337">
        <v>31</v>
      </c>
      <c r="K62" s="25"/>
    </row>
    <row r="63" spans="2:11" x14ac:dyDescent="0.2">
      <c r="B63" s="25"/>
      <c r="C63" s="319"/>
      <c r="D63" s="326"/>
      <c r="E63" s="326"/>
      <c r="F63" s="326"/>
      <c r="G63" s="326"/>
      <c r="H63" s="326"/>
      <c r="I63" s="326"/>
      <c r="J63" s="337"/>
      <c r="K63" s="25"/>
    </row>
    <row r="64" spans="2:11" x14ac:dyDescent="0.2">
      <c r="B64" s="25"/>
      <c r="C64" s="319">
        <v>2016</v>
      </c>
      <c r="D64" s="326">
        <v>4</v>
      </c>
      <c r="E64" s="326">
        <v>7</v>
      </c>
      <c r="F64" s="326">
        <v>95</v>
      </c>
      <c r="G64" s="326">
        <v>53</v>
      </c>
      <c r="H64" s="326">
        <v>117</v>
      </c>
      <c r="I64" s="326">
        <f t="shared" si="2"/>
        <v>276</v>
      </c>
      <c r="J64" s="337">
        <v>28</v>
      </c>
      <c r="K64" s="25"/>
    </row>
    <row r="65" spans="2:11" x14ac:dyDescent="0.2">
      <c r="B65" s="25"/>
      <c r="C65" s="319">
        <v>2017</v>
      </c>
      <c r="D65" s="326">
        <v>3</v>
      </c>
      <c r="E65" s="326">
        <v>8</v>
      </c>
      <c r="F65" s="326">
        <v>85</v>
      </c>
      <c r="G65" s="326">
        <v>52</v>
      </c>
      <c r="H65" s="326">
        <v>118</v>
      </c>
      <c r="I65" s="326">
        <f>SUM(D65:H65)</f>
        <v>266</v>
      </c>
      <c r="J65" s="337">
        <v>29</v>
      </c>
      <c r="K65" s="25"/>
    </row>
    <row r="66" spans="2:11" x14ac:dyDescent="0.2">
      <c r="B66" s="25"/>
      <c r="C66" s="319">
        <v>2018</v>
      </c>
      <c r="D66" s="326">
        <v>3</v>
      </c>
      <c r="E66" s="326">
        <v>8</v>
      </c>
      <c r="F66" s="326">
        <v>76</v>
      </c>
      <c r="G66" s="326">
        <v>46</v>
      </c>
      <c r="H66" s="326">
        <v>117</v>
      </c>
      <c r="I66" s="326">
        <f>SUM(D66:H66)</f>
        <v>250</v>
      </c>
      <c r="J66" s="337">
        <v>29</v>
      </c>
      <c r="K66" s="25"/>
    </row>
    <row r="67" spans="2:11" x14ac:dyDescent="0.2">
      <c r="B67" s="25"/>
      <c r="C67" s="319">
        <v>2019</v>
      </c>
      <c r="D67" s="326">
        <v>3</v>
      </c>
      <c r="E67" s="326">
        <v>6</v>
      </c>
      <c r="F67" s="326">
        <v>74</v>
      </c>
      <c r="G67" s="326">
        <v>42</v>
      </c>
      <c r="H67" s="326">
        <v>115</v>
      </c>
      <c r="I67" s="326">
        <f>SUM(D67:H67)</f>
        <v>240</v>
      </c>
      <c r="J67" s="337">
        <v>29</v>
      </c>
      <c r="K67" s="25"/>
    </row>
    <row r="68" spans="2:11" x14ac:dyDescent="0.2">
      <c r="B68" s="25"/>
      <c r="C68" s="339">
        <v>2020</v>
      </c>
      <c r="D68" s="328">
        <v>3</v>
      </c>
      <c r="E68" s="328">
        <v>6</v>
      </c>
      <c r="F68" s="328">
        <v>64</v>
      </c>
      <c r="G68" s="328">
        <v>37</v>
      </c>
      <c r="H68" s="328">
        <v>117</v>
      </c>
      <c r="I68" s="328">
        <f>SUM(D68:H68)</f>
        <v>227</v>
      </c>
      <c r="J68" s="340">
        <v>25</v>
      </c>
      <c r="K68" s="25"/>
    </row>
    <row r="69" spans="2:11" x14ac:dyDescent="0.2">
      <c r="B69" s="25"/>
      <c r="C69" s="319"/>
      <c r="D69" s="326"/>
      <c r="E69" s="326"/>
      <c r="F69" s="326"/>
      <c r="G69" s="326"/>
      <c r="H69" s="326"/>
      <c r="I69" s="326"/>
      <c r="J69" s="337"/>
      <c r="K69" s="25"/>
    </row>
    <row r="70" spans="2:11" x14ac:dyDescent="0.2">
      <c r="C70" s="152" t="s">
        <v>78</v>
      </c>
    </row>
    <row r="71" spans="2:11" ht="14.25" x14ac:dyDescent="0.2">
      <c r="B71" s="157"/>
      <c r="C71" s="17" t="s">
        <v>97</v>
      </c>
    </row>
    <row r="72" spans="2:11" ht="24.75" customHeight="1" x14ac:dyDescent="0.2">
      <c r="B72" s="157"/>
      <c r="C72" s="434" t="s">
        <v>106</v>
      </c>
      <c r="D72" s="435"/>
      <c r="E72" s="435"/>
      <c r="F72" s="435"/>
      <c r="G72" s="435"/>
      <c r="H72" s="435"/>
      <c r="I72" s="435"/>
      <c r="J72" s="435"/>
    </row>
    <row r="73" spans="2:11" ht="14.25" x14ac:dyDescent="0.2">
      <c r="B73" s="157"/>
      <c r="C73" s="17" t="s">
        <v>80</v>
      </c>
    </row>
    <row r="74" spans="2:11" ht="14.25" x14ac:dyDescent="0.2">
      <c r="B74" s="157"/>
      <c r="C74" s="17" t="s">
        <v>82</v>
      </c>
    </row>
    <row r="75" spans="2:11" ht="14.25" x14ac:dyDescent="0.2">
      <c r="B75" s="157"/>
    </row>
    <row r="76" spans="2:11" ht="14.25" x14ac:dyDescent="0.2">
      <c r="B76" s="157"/>
      <c r="C76" s="134" t="s">
        <v>113</v>
      </c>
    </row>
    <row r="77" spans="2:11" ht="14.25" x14ac:dyDescent="0.2">
      <c r="B77" s="157"/>
    </row>
    <row r="78" spans="2:11" ht="14.25" x14ac:dyDescent="0.2">
      <c r="B78" s="157"/>
    </row>
    <row r="79" spans="2:11" ht="14.25" x14ac:dyDescent="0.2">
      <c r="B79" s="157"/>
    </row>
    <row r="80" spans="2:11" ht="14.25" x14ac:dyDescent="0.2">
      <c r="B80" s="157"/>
    </row>
    <row r="81" spans="2:9" ht="14.25" x14ac:dyDescent="0.2">
      <c r="B81" s="157"/>
    </row>
    <row r="82" spans="2:9" ht="14.25" x14ac:dyDescent="0.2">
      <c r="B82" s="157"/>
    </row>
    <row r="83" spans="2:9" ht="14.25" x14ac:dyDescent="0.2">
      <c r="B83" s="157"/>
    </row>
    <row r="84" spans="2:9" ht="14.25" x14ac:dyDescent="0.2">
      <c r="B84" s="157"/>
    </row>
    <row r="85" spans="2:9" ht="14.25" x14ac:dyDescent="0.2">
      <c r="B85" s="157"/>
    </row>
    <row r="86" spans="2:9" ht="14.25" x14ac:dyDescent="0.2">
      <c r="B86" s="157"/>
    </row>
    <row r="87" spans="2:9" ht="14.25" x14ac:dyDescent="0.2">
      <c r="B87" s="157"/>
    </row>
    <row r="88" spans="2:9" ht="14.25" x14ac:dyDescent="0.2">
      <c r="B88" s="157"/>
    </row>
    <row r="89" spans="2:9" ht="14.25" x14ac:dyDescent="0.2">
      <c r="B89" s="157"/>
    </row>
    <row r="90" spans="2:9" ht="14.25" x14ac:dyDescent="0.2">
      <c r="B90" s="157"/>
    </row>
    <row r="91" spans="2:9" ht="14.25" x14ac:dyDescent="0.2">
      <c r="B91" s="157"/>
    </row>
    <row r="92" spans="2:9" ht="14.25" x14ac:dyDescent="0.2">
      <c r="B92" s="157"/>
    </row>
    <row r="93" spans="2:9" ht="14.25" x14ac:dyDescent="0.2">
      <c r="B93" s="157"/>
    </row>
    <row r="94" spans="2:9" ht="14.25" x14ac:dyDescent="0.2">
      <c r="B94" s="157"/>
    </row>
    <row r="95" spans="2:9" ht="14.25" x14ac:dyDescent="0.2">
      <c r="B95" s="158"/>
    </row>
    <row r="96" spans="2:9" ht="9" customHeight="1" x14ac:dyDescent="0.2">
      <c r="B96" s="48"/>
      <c r="C96" s="48"/>
      <c r="D96" s="48"/>
      <c r="E96" s="48"/>
      <c r="F96" s="48"/>
      <c r="G96" s="48"/>
      <c r="H96" s="48"/>
      <c r="I96" s="48"/>
    </row>
    <row r="97" spans="2:13" x14ac:dyDescent="0.2">
      <c r="B97" s="398">
        <v>92</v>
      </c>
      <c r="C97" s="398"/>
      <c r="D97" s="398"/>
      <c r="E97" s="398"/>
      <c r="F97" s="398"/>
      <c r="G97" s="398"/>
      <c r="H97" s="398"/>
      <c r="I97" s="398"/>
      <c r="J97" s="398"/>
      <c r="K97" s="398"/>
      <c r="L97" s="135"/>
      <c r="M97" s="135"/>
    </row>
  </sheetData>
  <mergeCells count="3">
    <mergeCell ref="B97:K97"/>
    <mergeCell ref="C72:J72"/>
    <mergeCell ref="D7:J7"/>
  </mergeCells>
  <phoneticPr fontId="7" type="noConversion"/>
  <printOptions horizontalCentered="1"/>
  <pageMargins left="1" right="1" top="1" bottom="1" header="0.5" footer="0.24"/>
  <pageSetup scale="72" orientation="portrait" r:id="rId1"/>
  <headerFooter alignWithMargins="0"/>
  <ignoredErrors>
    <ignoredError sqref="I34:I56 I64:I68 I58:I62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4580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1</xdr:col>
                <xdr:colOff>228600</xdr:colOff>
                <xdr:row>3</xdr:row>
                <xdr:rowOff>28575</xdr:rowOff>
              </to>
            </anchor>
          </objectPr>
        </oleObject>
      </mc:Choice>
      <mc:Fallback>
        <oleObject progId="MSPhotoEd.3" shapeId="24580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2:AS87"/>
  <sheetViews>
    <sheetView zoomScaleNormal="100" zoomScaleSheetLayoutView="100" workbookViewId="0">
      <selection activeCell="K30" sqref="K30"/>
    </sheetView>
  </sheetViews>
  <sheetFormatPr defaultRowHeight="12.75" x14ac:dyDescent="0.2"/>
  <cols>
    <col min="1" max="1" width="2.85546875" style="17" customWidth="1"/>
    <col min="2" max="2" width="6.7109375" style="17" customWidth="1"/>
    <col min="3" max="3" width="11" style="17" customWidth="1"/>
    <col min="4" max="4" width="11.7109375" style="17" customWidth="1"/>
    <col min="5" max="7" width="10.28515625" style="17" customWidth="1"/>
    <col min="8" max="8" width="10.28515625" style="17" hidden="1" customWidth="1"/>
    <col min="9" max="10" width="11.85546875" style="17" customWidth="1"/>
    <col min="11" max="12" width="10.28515625" style="17" customWidth="1"/>
    <col min="13" max="13" width="5.7109375" style="17" customWidth="1"/>
    <col min="14" max="14" width="2.5703125" style="17" customWidth="1"/>
    <col min="15" max="16384" width="9.140625" style="17"/>
  </cols>
  <sheetData>
    <row r="2" spans="2:45" x14ac:dyDescent="0.2">
      <c r="I2" s="144" t="s">
        <v>253</v>
      </c>
      <c r="J2" s="144"/>
    </row>
    <row r="4" spans="2:45" ht="15" x14ac:dyDescent="0.25">
      <c r="F4" s="177"/>
      <c r="G4" s="177"/>
      <c r="H4" s="177"/>
      <c r="I4" s="177"/>
      <c r="J4" s="177"/>
      <c r="K4" s="177"/>
      <c r="L4" s="177"/>
      <c r="M4" s="208"/>
      <c r="N4" s="208"/>
    </row>
    <row r="5" spans="2:45" ht="9" customHeight="1" x14ac:dyDescent="0.2"/>
    <row r="8" spans="2:45" ht="15.75" x14ac:dyDescent="0.25">
      <c r="B8" s="131">
        <v>12.08</v>
      </c>
      <c r="C8" s="399" t="s">
        <v>268</v>
      </c>
      <c r="D8" s="399"/>
      <c r="E8" s="399"/>
      <c r="F8" s="399"/>
      <c r="G8" s="399"/>
      <c r="H8" s="399"/>
      <c r="I8" s="399"/>
      <c r="J8" s="399"/>
      <c r="K8" s="399"/>
      <c r="L8" s="399"/>
      <c r="M8" s="146"/>
      <c r="N8" s="146"/>
    </row>
    <row r="10" spans="2:45" x14ac:dyDescent="0.2">
      <c r="M10" s="25"/>
      <c r="N10" s="25"/>
    </row>
    <row r="11" spans="2:45" ht="38.25" x14ac:dyDescent="0.2">
      <c r="C11" s="317" t="s">
        <v>0</v>
      </c>
      <c r="D11" s="317" t="s">
        <v>118</v>
      </c>
      <c r="E11" s="317" t="s">
        <v>119</v>
      </c>
      <c r="F11" s="318" t="s">
        <v>120</v>
      </c>
      <c r="G11" s="318" t="s">
        <v>121</v>
      </c>
      <c r="H11" s="318" t="s">
        <v>31</v>
      </c>
      <c r="I11" s="318" t="s">
        <v>250</v>
      </c>
      <c r="J11" s="318" t="s">
        <v>240</v>
      </c>
      <c r="K11" s="318" t="s">
        <v>66</v>
      </c>
      <c r="L11" s="318" t="s">
        <v>32</v>
      </c>
      <c r="M11" s="178"/>
      <c r="N11" s="178"/>
    </row>
    <row r="13" spans="2:45" hidden="1" x14ac:dyDescent="0.2">
      <c r="C13" s="206">
        <v>1975</v>
      </c>
      <c r="D13" s="206"/>
      <c r="E13" s="221">
        <v>4129</v>
      </c>
      <c r="F13" s="221">
        <v>2320</v>
      </c>
      <c r="G13" s="221">
        <v>169</v>
      </c>
      <c r="H13" s="221"/>
      <c r="I13" s="221"/>
      <c r="J13" s="221"/>
      <c r="K13" s="221">
        <f>SUM(E13:H13)</f>
        <v>6618</v>
      </c>
      <c r="AS13" s="17">
        <v>4932.3999999999996</v>
      </c>
    </row>
    <row r="14" spans="2:45" hidden="1" x14ac:dyDescent="0.2">
      <c r="C14" s="206">
        <v>1976</v>
      </c>
      <c r="D14" s="206"/>
      <c r="E14" s="221">
        <v>4489</v>
      </c>
      <c r="F14" s="221">
        <v>2842</v>
      </c>
      <c r="G14" s="221">
        <v>190</v>
      </c>
      <c r="H14" s="221"/>
      <c r="I14" s="221"/>
      <c r="J14" s="221"/>
      <c r="K14" s="221">
        <f t="shared" ref="K14:K29" si="0">SUM(E14:H14)</f>
        <v>7521</v>
      </c>
      <c r="L14" s="341">
        <f t="shared" ref="L14:L19" si="1">(K14/K13-1)*100</f>
        <v>13.644605621033534</v>
      </c>
      <c r="AS14" s="17">
        <v>2281.6999999999998</v>
      </c>
    </row>
    <row r="15" spans="2:45" hidden="1" x14ac:dyDescent="0.2">
      <c r="C15" s="206">
        <v>1977</v>
      </c>
      <c r="D15" s="206"/>
      <c r="E15" s="221">
        <v>4629</v>
      </c>
      <c r="F15" s="221">
        <v>3325</v>
      </c>
      <c r="G15" s="221">
        <v>204</v>
      </c>
      <c r="H15" s="221"/>
      <c r="I15" s="221"/>
      <c r="J15" s="221"/>
      <c r="K15" s="221">
        <f t="shared" si="0"/>
        <v>8158</v>
      </c>
      <c r="L15" s="341">
        <f t="shared" si="1"/>
        <v>8.4696184018082654</v>
      </c>
      <c r="AS15" s="17">
        <v>100.2</v>
      </c>
    </row>
    <row r="16" spans="2:45" hidden="1" x14ac:dyDescent="0.2">
      <c r="C16" s="206">
        <v>1978</v>
      </c>
      <c r="D16" s="206"/>
      <c r="E16" s="221">
        <v>4916</v>
      </c>
      <c r="F16" s="221">
        <v>3917</v>
      </c>
      <c r="G16" s="221">
        <v>254</v>
      </c>
      <c r="H16" s="221"/>
      <c r="I16" s="221"/>
      <c r="J16" s="221"/>
      <c r="K16" s="221">
        <f t="shared" si="0"/>
        <v>9087</v>
      </c>
      <c r="L16" s="341">
        <f t="shared" si="1"/>
        <v>11.387594998774219</v>
      </c>
      <c r="AS16" s="17">
        <v>2181.5</v>
      </c>
    </row>
    <row r="17" spans="3:45" hidden="1" x14ac:dyDescent="0.2">
      <c r="C17" s="206">
        <v>1979</v>
      </c>
      <c r="D17" s="206"/>
      <c r="E17" s="221">
        <v>5372</v>
      </c>
      <c r="F17" s="221">
        <v>4888</v>
      </c>
      <c r="G17" s="221">
        <v>292</v>
      </c>
      <c r="H17" s="221"/>
      <c r="I17" s="221"/>
      <c r="J17" s="221"/>
      <c r="K17" s="221">
        <f t="shared" si="0"/>
        <v>10552</v>
      </c>
      <c r="L17" s="341">
        <f t="shared" si="1"/>
        <v>16.121932430945307</v>
      </c>
      <c r="AS17" s="17">
        <v>2650.7</v>
      </c>
    </row>
    <row r="18" spans="3:45" hidden="1" x14ac:dyDescent="0.2">
      <c r="C18" s="206">
        <v>1980</v>
      </c>
      <c r="D18" s="206"/>
      <c r="E18" s="221">
        <v>5876</v>
      </c>
      <c r="F18" s="221">
        <v>5965</v>
      </c>
      <c r="G18" s="221">
        <v>342</v>
      </c>
      <c r="H18" s="221"/>
      <c r="I18" s="221"/>
      <c r="J18" s="221"/>
      <c r="K18" s="221">
        <f t="shared" si="0"/>
        <v>12183</v>
      </c>
      <c r="L18" s="341">
        <f t="shared" si="1"/>
        <v>15.456785443517806</v>
      </c>
      <c r="AS18" s="17">
        <v>2971.2</v>
      </c>
    </row>
    <row r="19" spans="3:45" hidden="1" x14ac:dyDescent="0.2">
      <c r="C19" s="206">
        <v>1981</v>
      </c>
      <c r="D19" s="206"/>
      <c r="E19" s="221">
        <v>6656</v>
      </c>
      <c r="F19" s="221">
        <v>7495</v>
      </c>
      <c r="G19" s="221">
        <v>386</v>
      </c>
      <c r="H19" s="221"/>
      <c r="I19" s="221"/>
      <c r="J19" s="221"/>
      <c r="K19" s="221">
        <f t="shared" si="0"/>
        <v>14537</v>
      </c>
      <c r="L19" s="341">
        <f t="shared" si="1"/>
        <v>19.322006074037603</v>
      </c>
      <c r="AS19" s="17">
        <v>243.6</v>
      </c>
    </row>
    <row r="20" spans="3:45" hidden="1" x14ac:dyDescent="0.2">
      <c r="C20" s="206">
        <v>1982</v>
      </c>
      <c r="D20" s="206"/>
      <c r="E20" s="221">
        <v>7250</v>
      </c>
      <c r="F20" s="221">
        <v>9060</v>
      </c>
      <c r="G20" s="221">
        <v>402</v>
      </c>
      <c r="H20" s="221"/>
      <c r="I20" s="221"/>
      <c r="J20" s="221"/>
      <c r="K20" s="221">
        <f t="shared" si="0"/>
        <v>16712</v>
      </c>
      <c r="L20" s="341">
        <f t="shared" ref="L20:L38" si="2">(K20/K19-1)*100</f>
        <v>14.961821558781052</v>
      </c>
      <c r="AS20" s="17">
        <v>70.099999999999994</v>
      </c>
    </row>
    <row r="21" spans="3:45" hidden="1" x14ac:dyDescent="0.2">
      <c r="C21" s="206">
        <v>1983</v>
      </c>
      <c r="D21" s="206"/>
      <c r="E21" s="221">
        <v>7304</v>
      </c>
      <c r="F21" s="221">
        <v>9797</v>
      </c>
      <c r="G21" s="221">
        <v>412</v>
      </c>
      <c r="H21" s="221"/>
      <c r="I21" s="221"/>
      <c r="J21" s="221"/>
      <c r="K21" s="221">
        <f t="shared" si="0"/>
        <v>17513</v>
      </c>
      <c r="L21" s="341">
        <f t="shared" si="2"/>
        <v>4.7929631402584993</v>
      </c>
      <c r="AS21" s="17">
        <v>2657.5</v>
      </c>
    </row>
    <row r="22" spans="3:45" hidden="1" x14ac:dyDescent="0.2">
      <c r="C22" s="206">
        <v>1984</v>
      </c>
      <c r="D22" s="206"/>
      <c r="E22" s="221">
        <v>7306</v>
      </c>
      <c r="F22" s="221">
        <v>9909</v>
      </c>
      <c r="G22" s="221">
        <v>424</v>
      </c>
      <c r="H22" s="221"/>
      <c r="I22" s="221"/>
      <c r="J22" s="221"/>
      <c r="K22" s="221">
        <f t="shared" si="0"/>
        <v>17639</v>
      </c>
      <c r="L22" s="341">
        <f t="shared" si="2"/>
        <v>0.71946553988466722</v>
      </c>
      <c r="AS22" s="17">
        <v>-320.5</v>
      </c>
    </row>
    <row r="23" spans="3:45" hidden="1" x14ac:dyDescent="0.2">
      <c r="C23" s="206">
        <v>1985</v>
      </c>
      <c r="D23" s="206"/>
      <c r="E23" s="221">
        <v>7731</v>
      </c>
      <c r="F23" s="221">
        <v>10149</v>
      </c>
      <c r="G23" s="221">
        <v>467</v>
      </c>
      <c r="H23" s="221"/>
      <c r="I23" s="221"/>
      <c r="J23" s="221"/>
      <c r="K23" s="221">
        <f t="shared" si="0"/>
        <v>18347</v>
      </c>
      <c r="L23" s="341">
        <f t="shared" si="2"/>
        <v>4.0138329837292375</v>
      </c>
    </row>
    <row r="24" spans="3:45" hidden="1" x14ac:dyDescent="0.2">
      <c r="C24" s="206">
        <v>1986</v>
      </c>
      <c r="D24" s="206"/>
      <c r="E24" s="221">
        <v>7009</v>
      </c>
      <c r="F24" s="221">
        <v>9296</v>
      </c>
      <c r="G24" s="221">
        <v>486</v>
      </c>
      <c r="H24" s="221"/>
      <c r="I24" s="221"/>
      <c r="J24" s="221"/>
      <c r="K24" s="221">
        <f t="shared" si="0"/>
        <v>16791</v>
      </c>
      <c r="L24" s="341">
        <f t="shared" si="2"/>
        <v>-8.4809505641249228</v>
      </c>
      <c r="AS24" s="17">
        <v>4932.3999999999996</v>
      </c>
    </row>
    <row r="25" spans="3:45" hidden="1" x14ac:dyDescent="0.2">
      <c r="C25" s="206">
        <v>1987</v>
      </c>
      <c r="D25" s="206"/>
      <c r="E25" s="221">
        <v>7104</v>
      </c>
      <c r="F25" s="221">
        <v>9218</v>
      </c>
      <c r="G25" s="221">
        <v>499</v>
      </c>
      <c r="H25" s="221"/>
      <c r="I25" s="221"/>
      <c r="J25" s="221"/>
      <c r="K25" s="221">
        <f t="shared" si="0"/>
        <v>16821</v>
      </c>
      <c r="L25" s="341">
        <f t="shared" si="2"/>
        <v>0.17866714311238763</v>
      </c>
      <c r="AS25" s="17">
        <v>1209.0999999999999</v>
      </c>
    </row>
    <row r="26" spans="3:45" hidden="1" x14ac:dyDescent="0.2">
      <c r="C26" s="206">
        <v>1988</v>
      </c>
      <c r="D26" s="206"/>
      <c r="E26" s="221">
        <v>7487</v>
      </c>
      <c r="F26" s="221">
        <v>10228</v>
      </c>
      <c r="G26" s="221">
        <v>548</v>
      </c>
      <c r="H26" s="221"/>
      <c r="I26" s="221"/>
      <c r="J26" s="221"/>
      <c r="K26" s="221">
        <f t="shared" si="0"/>
        <v>18263</v>
      </c>
      <c r="L26" s="341">
        <f t="shared" si="2"/>
        <v>8.5726175613816125</v>
      </c>
      <c r="AS26" s="17">
        <v>95.5</v>
      </c>
    </row>
    <row r="27" spans="3:45" hidden="1" x14ac:dyDescent="0.2">
      <c r="C27" s="206">
        <v>1989</v>
      </c>
      <c r="D27" s="206"/>
      <c r="E27" s="221">
        <v>8002</v>
      </c>
      <c r="F27" s="221">
        <v>11417</v>
      </c>
      <c r="G27" s="221">
        <v>594</v>
      </c>
      <c r="H27" s="221"/>
      <c r="I27" s="221"/>
      <c r="J27" s="221"/>
      <c r="K27" s="221">
        <f t="shared" si="0"/>
        <v>20013</v>
      </c>
      <c r="L27" s="341">
        <f t="shared" si="2"/>
        <v>9.5822154082023658</v>
      </c>
      <c r="AS27" s="17">
        <v>1113.5999999999999</v>
      </c>
    </row>
    <row r="28" spans="3:45" hidden="1" x14ac:dyDescent="0.2">
      <c r="C28" s="206">
        <v>1990</v>
      </c>
      <c r="D28" s="342"/>
      <c r="E28" s="221">
        <f>8935</f>
        <v>8935</v>
      </c>
      <c r="F28" s="221">
        <v>12717</v>
      </c>
      <c r="G28" s="221">
        <v>608</v>
      </c>
      <c r="H28" s="221"/>
      <c r="I28" s="221"/>
      <c r="J28" s="221"/>
      <c r="K28" s="221">
        <f>SUM(E28:H28)</f>
        <v>22260</v>
      </c>
      <c r="L28" s="341">
        <f t="shared" si="2"/>
        <v>11.227701993704088</v>
      </c>
      <c r="AS28" s="17">
        <v>460.6</v>
      </c>
    </row>
    <row r="29" spans="3:45" hidden="1" x14ac:dyDescent="0.2">
      <c r="C29" s="206">
        <v>1991</v>
      </c>
      <c r="D29" s="342"/>
      <c r="E29" s="221">
        <f>9426</f>
        <v>9426</v>
      </c>
      <c r="F29" s="221">
        <v>13643</v>
      </c>
      <c r="G29" s="221">
        <v>631</v>
      </c>
      <c r="H29" s="221"/>
      <c r="I29" s="221"/>
      <c r="J29" s="221"/>
      <c r="K29" s="221">
        <f t="shared" si="0"/>
        <v>23700</v>
      </c>
      <c r="L29" s="341">
        <f t="shared" si="2"/>
        <v>6.4690026954177915</v>
      </c>
      <c r="AS29" s="17">
        <v>653</v>
      </c>
    </row>
    <row r="30" spans="3:45" ht="14.25" x14ac:dyDescent="0.2">
      <c r="C30" s="206">
        <v>1992</v>
      </c>
      <c r="D30" s="343" t="s">
        <v>73</v>
      </c>
      <c r="E30" s="221">
        <f>10031</f>
        <v>10031</v>
      </c>
      <c r="F30" s="221">
        <v>14371</v>
      </c>
      <c r="G30" s="221">
        <v>645</v>
      </c>
      <c r="H30" s="221"/>
      <c r="I30" s="344" t="s">
        <v>188</v>
      </c>
      <c r="J30" s="344" t="s">
        <v>188</v>
      </c>
      <c r="K30" s="221">
        <f>SUM(D30:J30)</f>
        <v>25047</v>
      </c>
      <c r="L30" s="341">
        <f t="shared" si="2"/>
        <v>5.683544303797472</v>
      </c>
      <c r="AS30" s="17">
        <v>3723.3</v>
      </c>
    </row>
    <row r="31" spans="3:45" x14ac:dyDescent="0.2">
      <c r="C31" s="206">
        <v>1993</v>
      </c>
      <c r="D31" s="342">
        <v>7529</v>
      </c>
      <c r="E31" s="221">
        <v>3672</v>
      </c>
      <c r="F31" s="221">
        <v>16449</v>
      </c>
      <c r="G31" s="221">
        <v>678</v>
      </c>
      <c r="H31" s="221">
        <v>16</v>
      </c>
      <c r="I31" s="344" t="s">
        <v>188</v>
      </c>
      <c r="J31" s="344" t="s">
        <v>188</v>
      </c>
      <c r="K31" s="221">
        <f t="shared" ref="K31:K63" si="3">SUM(D31:J31)</f>
        <v>28344</v>
      </c>
      <c r="L31" s="341">
        <v>13.1</v>
      </c>
      <c r="AS31" s="17">
        <v>3382</v>
      </c>
    </row>
    <row r="32" spans="3:45" x14ac:dyDescent="0.2">
      <c r="C32" s="206">
        <v>1994</v>
      </c>
      <c r="D32" s="342">
        <v>8849</v>
      </c>
      <c r="E32" s="221">
        <v>3081</v>
      </c>
      <c r="F32" s="221">
        <v>18920</v>
      </c>
      <c r="G32" s="221">
        <v>730</v>
      </c>
      <c r="H32" s="221">
        <v>32</v>
      </c>
      <c r="I32" s="344" t="s">
        <v>188</v>
      </c>
      <c r="J32" s="344" t="s">
        <v>188</v>
      </c>
      <c r="K32" s="221">
        <f t="shared" si="3"/>
        <v>31612</v>
      </c>
      <c r="L32" s="341">
        <f t="shared" si="2"/>
        <v>11.529777025119948</v>
      </c>
    </row>
    <row r="33" spans="2:14" x14ac:dyDescent="0.2">
      <c r="C33" s="206">
        <v>1995</v>
      </c>
      <c r="D33" s="342">
        <v>8675</v>
      </c>
      <c r="E33" s="221">
        <v>2884</v>
      </c>
      <c r="F33" s="221">
        <v>21765</v>
      </c>
      <c r="G33" s="221">
        <v>658</v>
      </c>
      <c r="H33" s="221"/>
      <c r="I33" s="344" t="s">
        <v>188</v>
      </c>
      <c r="J33" s="344" t="s">
        <v>188</v>
      </c>
      <c r="K33" s="221">
        <f t="shared" si="3"/>
        <v>33982</v>
      </c>
      <c r="L33" s="341">
        <f t="shared" si="2"/>
        <v>7.4971529798810499</v>
      </c>
    </row>
    <row r="34" spans="2:14" x14ac:dyDescent="0.2">
      <c r="C34" s="206"/>
      <c r="D34" s="342"/>
      <c r="E34" s="221"/>
      <c r="F34" s="221"/>
      <c r="G34" s="221"/>
      <c r="H34" s="221"/>
      <c r="I34" s="344"/>
      <c r="J34" s="344"/>
      <c r="K34" s="221"/>
      <c r="L34" s="341"/>
    </row>
    <row r="35" spans="2:14" x14ac:dyDescent="0.2">
      <c r="C35" s="206">
        <v>1996</v>
      </c>
      <c r="D35" s="342">
        <v>9109</v>
      </c>
      <c r="E35" s="221">
        <v>3052</v>
      </c>
      <c r="F35" s="221">
        <v>25069</v>
      </c>
      <c r="G35" s="221">
        <v>689</v>
      </c>
      <c r="H35" s="221"/>
      <c r="I35" s="344" t="s">
        <v>188</v>
      </c>
      <c r="J35" s="344" t="s">
        <v>188</v>
      </c>
      <c r="K35" s="221">
        <f t="shared" si="3"/>
        <v>37919</v>
      </c>
      <c r="L35" s="341">
        <f>(K35/K33-1)*100</f>
        <v>11.585545288682253</v>
      </c>
    </row>
    <row r="36" spans="2:14" x14ac:dyDescent="0.2">
      <c r="C36" s="206">
        <v>1997</v>
      </c>
      <c r="D36" s="342">
        <v>9728</v>
      </c>
      <c r="E36" s="221">
        <v>3087</v>
      </c>
      <c r="F36" s="221">
        <v>27640</v>
      </c>
      <c r="G36" s="221">
        <v>708</v>
      </c>
      <c r="H36" s="221"/>
      <c r="I36" s="344" t="s">
        <v>188</v>
      </c>
      <c r="J36" s="344" t="s">
        <v>188</v>
      </c>
      <c r="K36" s="221">
        <f t="shared" si="3"/>
        <v>41163</v>
      </c>
      <c r="L36" s="341">
        <f>(K36/K35-1)*100</f>
        <v>8.5550779292702828</v>
      </c>
    </row>
    <row r="37" spans="2:14" x14ac:dyDescent="0.2">
      <c r="C37" s="206">
        <v>1998</v>
      </c>
      <c r="D37" s="342">
        <v>9778</v>
      </c>
      <c r="E37" s="221">
        <v>3289</v>
      </c>
      <c r="F37" s="221">
        <v>31364</v>
      </c>
      <c r="G37" s="221">
        <v>738</v>
      </c>
      <c r="H37" s="221"/>
      <c r="I37" s="344" t="s">
        <v>188</v>
      </c>
      <c r="J37" s="344" t="s">
        <v>188</v>
      </c>
      <c r="K37" s="221">
        <f t="shared" si="3"/>
        <v>45169</v>
      </c>
      <c r="L37" s="341">
        <f t="shared" si="2"/>
        <v>9.7320409105264396</v>
      </c>
    </row>
    <row r="38" spans="2:14" x14ac:dyDescent="0.2">
      <c r="C38" s="206">
        <v>1999</v>
      </c>
      <c r="D38" s="342">
        <v>11342</v>
      </c>
      <c r="E38" s="221">
        <v>3614</v>
      </c>
      <c r="F38" s="221">
        <v>35188</v>
      </c>
      <c r="G38" s="221">
        <v>807</v>
      </c>
      <c r="H38" s="221"/>
      <c r="I38" s="344" t="s">
        <v>188</v>
      </c>
      <c r="J38" s="344" t="s">
        <v>188</v>
      </c>
      <c r="K38" s="221">
        <f t="shared" si="3"/>
        <v>50951</v>
      </c>
      <c r="L38" s="341">
        <f t="shared" si="2"/>
        <v>12.800814718058851</v>
      </c>
    </row>
    <row r="39" spans="2:14" x14ac:dyDescent="0.2">
      <c r="C39" s="319">
        <v>2000</v>
      </c>
      <c r="D39" s="246">
        <v>13740</v>
      </c>
      <c r="E39" s="246">
        <v>3865</v>
      </c>
      <c r="F39" s="246">
        <v>41361</v>
      </c>
      <c r="G39" s="246">
        <v>956</v>
      </c>
      <c r="H39" s="246"/>
      <c r="I39" s="344" t="s">
        <v>188</v>
      </c>
      <c r="J39" s="344" t="s">
        <v>188</v>
      </c>
      <c r="K39" s="221">
        <f t="shared" si="3"/>
        <v>59922</v>
      </c>
      <c r="L39" s="321">
        <f t="shared" ref="L39:L45" si="4">(K39/K38-1)*100</f>
        <v>17.607112716139039</v>
      </c>
    </row>
    <row r="40" spans="2:14" x14ac:dyDescent="0.2">
      <c r="C40" s="319"/>
      <c r="D40" s="246"/>
      <c r="E40" s="246"/>
      <c r="F40" s="246"/>
      <c r="G40" s="246"/>
      <c r="H40" s="246"/>
      <c r="I40" s="344"/>
      <c r="J40" s="344"/>
      <c r="K40" s="221"/>
      <c r="L40" s="321"/>
    </row>
    <row r="41" spans="2:14" x14ac:dyDescent="0.2">
      <c r="B41" s="25"/>
      <c r="C41" s="319">
        <v>2001</v>
      </c>
      <c r="D41" s="246">
        <v>14421</v>
      </c>
      <c r="E41" s="246">
        <v>3983</v>
      </c>
      <c r="F41" s="246">
        <v>45030</v>
      </c>
      <c r="G41" s="246">
        <v>1061</v>
      </c>
      <c r="H41" s="246"/>
      <c r="I41" s="344" t="s">
        <v>188</v>
      </c>
      <c r="J41" s="344" t="s">
        <v>188</v>
      </c>
      <c r="K41" s="221">
        <f t="shared" si="3"/>
        <v>64495</v>
      </c>
      <c r="L41" s="321">
        <f>(K41/K39-1)*100</f>
        <v>7.6315877307165936</v>
      </c>
      <c r="M41" s="25"/>
      <c r="N41" s="25"/>
    </row>
    <row r="42" spans="2:14" x14ac:dyDescent="0.2">
      <c r="B42" s="25"/>
      <c r="C42" s="319">
        <v>2002</v>
      </c>
      <c r="D42" s="246">
        <v>14676</v>
      </c>
      <c r="E42" s="246">
        <v>4081</v>
      </c>
      <c r="F42" s="246">
        <v>45448</v>
      </c>
      <c r="G42" s="246">
        <v>1054</v>
      </c>
      <c r="H42" s="246"/>
      <c r="I42" s="344" t="s">
        <v>188</v>
      </c>
      <c r="J42" s="344" t="s">
        <v>188</v>
      </c>
      <c r="K42" s="221">
        <f t="shared" si="3"/>
        <v>65259</v>
      </c>
      <c r="L42" s="321">
        <f>(K42/K41-1)*100</f>
        <v>1.1845879525544722</v>
      </c>
      <c r="M42" s="25"/>
      <c r="N42" s="25"/>
    </row>
    <row r="43" spans="2:14" x14ac:dyDescent="0.2">
      <c r="C43" s="319">
        <v>2003</v>
      </c>
      <c r="D43" s="345">
        <v>15104</v>
      </c>
      <c r="E43" s="345">
        <v>4382</v>
      </c>
      <c r="F43" s="345">
        <v>47430</v>
      </c>
      <c r="G43" s="345">
        <v>1162</v>
      </c>
      <c r="H43" s="25"/>
      <c r="I43" s="344" t="s">
        <v>188</v>
      </c>
      <c r="J43" s="344" t="s">
        <v>188</v>
      </c>
      <c r="K43" s="221">
        <f t="shared" si="3"/>
        <v>68078</v>
      </c>
      <c r="L43" s="321">
        <f t="shared" si="4"/>
        <v>4.3197106912456595</v>
      </c>
      <c r="M43" s="25"/>
      <c r="N43" s="25"/>
    </row>
    <row r="44" spans="2:14" x14ac:dyDescent="0.2">
      <c r="C44" s="319">
        <v>2004</v>
      </c>
      <c r="D44" s="345">
        <v>13462</v>
      </c>
      <c r="E44" s="345">
        <v>4763</v>
      </c>
      <c r="F44" s="345">
        <v>50618</v>
      </c>
      <c r="G44" s="345">
        <v>1290</v>
      </c>
      <c r="H44" s="25"/>
      <c r="I44" s="344" t="s">
        <v>188</v>
      </c>
      <c r="J44" s="344" t="s">
        <v>188</v>
      </c>
      <c r="K44" s="221">
        <f t="shared" si="3"/>
        <v>70133</v>
      </c>
      <c r="L44" s="321">
        <f t="shared" si="4"/>
        <v>3.0185963159904849</v>
      </c>
      <c r="M44" s="25"/>
      <c r="N44" s="25"/>
    </row>
    <row r="45" spans="2:14" x14ac:dyDescent="0.2">
      <c r="C45" s="319">
        <v>2005</v>
      </c>
      <c r="D45" s="345">
        <v>13307</v>
      </c>
      <c r="E45" s="345">
        <v>5046</v>
      </c>
      <c r="F45" s="345">
        <v>55083</v>
      </c>
      <c r="G45" s="345">
        <v>1469</v>
      </c>
      <c r="H45" s="25"/>
      <c r="I45" s="344" t="s">
        <v>188</v>
      </c>
      <c r="J45" s="344" t="s">
        <v>188</v>
      </c>
      <c r="K45" s="221">
        <f t="shared" si="3"/>
        <v>74905</v>
      </c>
      <c r="L45" s="321">
        <f t="shared" si="4"/>
        <v>6.8042148489298793</v>
      </c>
      <c r="M45" s="25"/>
      <c r="N45" s="25"/>
    </row>
    <row r="46" spans="2:14" x14ac:dyDescent="0.2">
      <c r="C46" s="319"/>
      <c r="D46" s="345"/>
      <c r="E46" s="345"/>
      <c r="F46" s="345"/>
      <c r="G46" s="345"/>
      <c r="H46" s="25"/>
      <c r="I46" s="344"/>
      <c r="J46" s="344"/>
      <c r="K46" s="221"/>
      <c r="L46" s="321"/>
      <c r="M46" s="25"/>
      <c r="N46" s="25"/>
    </row>
    <row r="47" spans="2:14" x14ac:dyDescent="0.2">
      <c r="C47" s="319">
        <v>2006</v>
      </c>
      <c r="D47" s="345">
        <v>13642</v>
      </c>
      <c r="E47" s="345">
        <v>5569</v>
      </c>
      <c r="F47" s="345">
        <v>62572</v>
      </c>
      <c r="G47" s="345">
        <v>1749</v>
      </c>
      <c r="H47" s="25"/>
      <c r="I47" s="344" t="s">
        <v>188</v>
      </c>
      <c r="J47" s="344" t="s">
        <v>188</v>
      </c>
      <c r="K47" s="221">
        <f t="shared" si="3"/>
        <v>83532</v>
      </c>
      <c r="L47" s="321">
        <f>(K47/K45-1)*100</f>
        <v>11.517255189907205</v>
      </c>
      <c r="M47" s="25"/>
      <c r="N47" s="25"/>
    </row>
    <row r="48" spans="2:14" x14ac:dyDescent="0.2">
      <c r="C48" s="319">
        <v>2007</v>
      </c>
      <c r="D48" s="345">
        <v>11589</v>
      </c>
      <c r="E48" s="345">
        <v>5549</v>
      </c>
      <c r="F48" s="345">
        <v>67911</v>
      </c>
      <c r="G48" s="345">
        <v>2060</v>
      </c>
      <c r="H48" s="25"/>
      <c r="I48" s="344" t="s">
        <v>188</v>
      </c>
      <c r="J48" s="344" t="s">
        <v>188</v>
      </c>
      <c r="K48" s="221">
        <f t="shared" si="3"/>
        <v>87109</v>
      </c>
      <c r="L48" s="321">
        <f>(K48/K47-1)*100</f>
        <v>4.2821912560455866</v>
      </c>
      <c r="M48" s="25"/>
      <c r="N48" s="25"/>
    </row>
    <row r="49" spans="3:14" x14ac:dyDescent="0.2">
      <c r="C49" s="319">
        <v>2008</v>
      </c>
      <c r="D49" s="345">
        <v>11115</v>
      </c>
      <c r="E49" s="345">
        <v>6027</v>
      </c>
      <c r="F49" s="345">
        <v>74107</v>
      </c>
      <c r="G49" s="345">
        <v>2444</v>
      </c>
      <c r="H49" s="25"/>
      <c r="I49" s="344" t="s">
        <v>188</v>
      </c>
      <c r="J49" s="344" t="s">
        <v>188</v>
      </c>
      <c r="K49" s="221">
        <f t="shared" si="3"/>
        <v>93693</v>
      </c>
      <c r="L49" s="321">
        <f t="shared" ref="L49:L55" si="5">(K49/K48-1)*100</f>
        <v>7.5583464395183153</v>
      </c>
      <c r="M49" s="25"/>
      <c r="N49" s="25"/>
    </row>
    <row r="50" spans="3:14" x14ac:dyDescent="0.2">
      <c r="C50" s="319">
        <v>2009</v>
      </c>
      <c r="D50" s="345">
        <v>10202</v>
      </c>
      <c r="E50" s="345">
        <v>6071</v>
      </c>
      <c r="F50" s="345">
        <v>73967</v>
      </c>
      <c r="G50" s="345">
        <v>2627</v>
      </c>
      <c r="H50" s="25"/>
      <c r="I50" s="344" t="s">
        <v>188</v>
      </c>
      <c r="J50" s="344" t="s">
        <v>188</v>
      </c>
      <c r="K50" s="221">
        <f t="shared" si="3"/>
        <v>92867</v>
      </c>
      <c r="L50" s="321">
        <f t="shared" si="5"/>
        <v>-0.88160268109677142</v>
      </c>
      <c r="M50" s="25"/>
      <c r="N50" s="25"/>
    </row>
    <row r="51" spans="3:14" x14ac:dyDescent="0.2">
      <c r="C51" s="319">
        <v>2010</v>
      </c>
      <c r="D51" s="345">
        <v>9651</v>
      </c>
      <c r="E51" s="345">
        <v>5829</v>
      </c>
      <c r="F51" s="345">
        <v>72994</v>
      </c>
      <c r="G51" s="345">
        <v>2732</v>
      </c>
      <c r="H51" s="25"/>
      <c r="I51" s="344" t="s">
        <v>188</v>
      </c>
      <c r="J51" s="344" t="s">
        <v>188</v>
      </c>
      <c r="K51" s="221">
        <f t="shared" si="3"/>
        <v>91206</v>
      </c>
      <c r="L51" s="321">
        <f t="shared" si="5"/>
        <v>-1.7885793661903571</v>
      </c>
      <c r="M51" s="25"/>
      <c r="N51" s="25"/>
    </row>
    <row r="52" spans="3:14" x14ac:dyDescent="0.2">
      <c r="C52" s="319"/>
      <c r="D52" s="345"/>
      <c r="E52" s="345"/>
      <c r="F52" s="345"/>
      <c r="G52" s="345"/>
      <c r="H52" s="25"/>
      <c r="I52" s="344"/>
      <c r="J52" s="344"/>
      <c r="K52" s="221"/>
      <c r="L52" s="321"/>
      <c r="M52" s="25"/>
      <c r="N52" s="25"/>
    </row>
    <row r="53" spans="3:14" x14ac:dyDescent="0.2">
      <c r="C53" s="319">
        <v>2011</v>
      </c>
      <c r="D53" s="345">
        <v>9060</v>
      </c>
      <c r="E53" s="345">
        <v>6193</v>
      </c>
      <c r="F53" s="345">
        <v>74782</v>
      </c>
      <c r="G53" s="345">
        <v>2929</v>
      </c>
      <c r="H53" s="25"/>
      <c r="I53" s="344" t="s">
        <v>188</v>
      </c>
      <c r="J53" s="344" t="s">
        <v>188</v>
      </c>
      <c r="K53" s="221">
        <f t="shared" si="3"/>
        <v>92964</v>
      </c>
      <c r="L53" s="321">
        <f>(K53/K51-1)*100</f>
        <v>1.9275047694230718</v>
      </c>
      <c r="M53" s="25"/>
      <c r="N53" s="25"/>
    </row>
    <row r="54" spans="3:14" x14ac:dyDescent="0.2">
      <c r="C54" s="319">
        <v>2012</v>
      </c>
      <c r="D54" s="345">
        <v>8206</v>
      </c>
      <c r="E54" s="345">
        <v>6476</v>
      </c>
      <c r="F54" s="345">
        <v>75754</v>
      </c>
      <c r="G54" s="345">
        <v>3176</v>
      </c>
      <c r="H54" s="25"/>
      <c r="I54" s="344" t="s">
        <v>188</v>
      </c>
      <c r="J54" s="344" t="s">
        <v>188</v>
      </c>
      <c r="K54" s="221">
        <f t="shared" si="3"/>
        <v>93612</v>
      </c>
      <c r="L54" s="321">
        <f t="shared" si="5"/>
        <v>0.69704401703885033</v>
      </c>
      <c r="M54" s="25"/>
      <c r="N54" s="25"/>
    </row>
    <row r="55" spans="3:14" x14ac:dyDescent="0.2">
      <c r="C55" s="319">
        <v>2013</v>
      </c>
      <c r="D55" s="345">
        <v>7200</v>
      </c>
      <c r="E55" s="345">
        <v>6755</v>
      </c>
      <c r="F55" s="345">
        <v>78070</v>
      </c>
      <c r="G55" s="345">
        <v>3505</v>
      </c>
      <c r="H55" s="25"/>
      <c r="I55" s="344" t="s">
        <v>188</v>
      </c>
      <c r="J55" s="344" t="s">
        <v>188</v>
      </c>
      <c r="K55" s="221">
        <f t="shared" si="3"/>
        <v>95530</v>
      </c>
      <c r="L55" s="321">
        <f t="shared" si="5"/>
        <v>2.0488826218860723</v>
      </c>
      <c r="M55" s="25"/>
      <c r="N55" s="25"/>
    </row>
    <row r="56" spans="3:14" x14ac:dyDescent="0.2">
      <c r="C56" s="319">
        <v>2014</v>
      </c>
      <c r="D56" s="345">
        <v>6213</v>
      </c>
      <c r="E56" s="345">
        <v>7037</v>
      </c>
      <c r="F56" s="345">
        <v>82413</v>
      </c>
      <c r="G56" s="345">
        <v>3796</v>
      </c>
      <c r="H56" s="25"/>
      <c r="I56" s="344" t="s">
        <v>51</v>
      </c>
      <c r="J56" s="344" t="s">
        <v>188</v>
      </c>
      <c r="K56" s="221">
        <f t="shared" si="3"/>
        <v>99459</v>
      </c>
      <c r="L56" s="321">
        <f t="shared" ref="L56:L63" si="6">(K56/K55-1)*100</f>
        <v>4.1128441327331622</v>
      </c>
      <c r="M56" s="25"/>
      <c r="N56" s="25"/>
    </row>
    <row r="57" spans="3:14" x14ac:dyDescent="0.2">
      <c r="C57" s="319">
        <v>2015</v>
      </c>
      <c r="D57" s="345">
        <v>5462</v>
      </c>
      <c r="E57" s="345">
        <v>6186</v>
      </c>
      <c r="F57" s="345">
        <v>83045</v>
      </c>
      <c r="G57" s="345">
        <v>4145</v>
      </c>
      <c r="H57" s="25"/>
      <c r="I57" s="344" t="s">
        <v>51</v>
      </c>
      <c r="J57" s="344" t="s">
        <v>188</v>
      </c>
      <c r="K57" s="221">
        <f t="shared" si="3"/>
        <v>98838</v>
      </c>
      <c r="L57" s="321">
        <f t="shared" si="6"/>
        <v>-0.6243778843543546</v>
      </c>
      <c r="M57" s="25"/>
      <c r="N57" s="25"/>
    </row>
    <row r="58" spans="3:14" x14ac:dyDescent="0.2">
      <c r="C58" s="319"/>
      <c r="D58" s="345"/>
      <c r="E58" s="345"/>
      <c r="F58" s="345"/>
      <c r="G58" s="345"/>
      <c r="H58" s="25"/>
      <c r="I58" s="344"/>
      <c r="J58" s="344"/>
      <c r="K58" s="221"/>
      <c r="L58" s="321"/>
      <c r="M58" s="25"/>
      <c r="N58" s="25"/>
    </row>
    <row r="59" spans="3:14" x14ac:dyDescent="0.2">
      <c r="C59" s="319">
        <v>2016</v>
      </c>
      <c r="D59" s="345">
        <v>4566</v>
      </c>
      <c r="E59" s="345">
        <v>6399</v>
      </c>
      <c r="F59" s="345">
        <v>80658</v>
      </c>
      <c r="G59" s="345">
        <v>4433</v>
      </c>
      <c r="H59" s="25"/>
      <c r="I59" s="345">
        <v>203</v>
      </c>
      <c r="J59" s="344" t="s">
        <v>188</v>
      </c>
      <c r="K59" s="221">
        <f t="shared" si="3"/>
        <v>96259</v>
      </c>
      <c r="L59" s="321">
        <f>(K59/K57-1)*100</f>
        <v>-2.609320301908169</v>
      </c>
      <c r="M59" s="25"/>
      <c r="N59" s="25"/>
    </row>
    <row r="60" spans="3:14" x14ac:dyDescent="0.2">
      <c r="C60" s="319">
        <v>2017</v>
      </c>
      <c r="D60" s="345">
        <v>3871</v>
      </c>
      <c r="E60" s="345">
        <v>6291</v>
      </c>
      <c r="F60" s="345">
        <v>83675</v>
      </c>
      <c r="G60" s="345">
        <v>4601</v>
      </c>
      <c r="H60" s="25"/>
      <c r="I60" s="345">
        <v>889</v>
      </c>
      <c r="J60" s="344" t="s">
        <v>188</v>
      </c>
      <c r="K60" s="221">
        <f t="shared" si="3"/>
        <v>99327</v>
      </c>
      <c r="L60" s="321">
        <f t="shared" si="6"/>
        <v>3.1872344404159536</v>
      </c>
      <c r="M60" s="25"/>
      <c r="N60" s="25"/>
    </row>
    <row r="61" spans="3:14" x14ac:dyDescent="0.2">
      <c r="C61" s="319">
        <v>2018</v>
      </c>
      <c r="D61" s="345">
        <v>3461</v>
      </c>
      <c r="E61" s="345">
        <v>6837</v>
      </c>
      <c r="F61" s="345">
        <v>90179</v>
      </c>
      <c r="G61" s="345">
        <v>5029</v>
      </c>
      <c r="H61" s="25"/>
      <c r="I61" s="345">
        <v>1710</v>
      </c>
      <c r="J61" s="345">
        <v>93</v>
      </c>
      <c r="K61" s="221">
        <f t="shared" si="3"/>
        <v>107309</v>
      </c>
      <c r="L61" s="321">
        <f t="shared" si="6"/>
        <v>8.03608283749635</v>
      </c>
      <c r="M61" s="25"/>
      <c r="N61" s="25"/>
    </row>
    <row r="62" spans="3:14" x14ac:dyDescent="0.2">
      <c r="C62" s="319">
        <v>2019</v>
      </c>
      <c r="D62" s="345">
        <v>2994</v>
      </c>
      <c r="E62" s="345">
        <v>6867</v>
      </c>
      <c r="F62" s="345">
        <v>91833</v>
      </c>
      <c r="G62" s="345">
        <v>5326</v>
      </c>
      <c r="H62" s="25"/>
      <c r="I62" s="345">
        <v>2390</v>
      </c>
      <c r="J62" s="345">
        <v>146</v>
      </c>
      <c r="K62" s="246">
        <f t="shared" si="3"/>
        <v>109556</v>
      </c>
      <c r="L62" s="321">
        <f t="shared" si="6"/>
        <v>2.0939529769171239</v>
      </c>
      <c r="M62" s="25"/>
      <c r="N62" s="25"/>
    </row>
    <row r="63" spans="3:14" x14ac:dyDescent="0.2">
      <c r="C63" s="339">
        <v>2020</v>
      </c>
      <c r="D63" s="346">
        <v>2797</v>
      </c>
      <c r="E63" s="346">
        <v>7322</v>
      </c>
      <c r="F63" s="346">
        <v>92550</v>
      </c>
      <c r="G63" s="346">
        <v>5623</v>
      </c>
      <c r="H63" s="133"/>
      <c r="I63" s="346">
        <v>3118</v>
      </c>
      <c r="J63" s="346">
        <v>158</v>
      </c>
      <c r="K63" s="242">
        <f t="shared" si="3"/>
        <v>111568</v>
      </c>
      <c r="L63" s="329">
        <f t="shared" si="6"/>
        <v>1.8365037058673206</v>
      </c>
      <c r="M63" s="25"/>
      <c r="N63" s="25"/>
    </row>
    <row r="64" spans="3:14" x14ac:dyDescent="0.2">
      <c r="C64" s="319"/>
      <c r="D64" s="345"/>
      <c r="E64" s="345"/>
      <c r="F64" s="345"/>
      <c r="G64" s="345"/>
      <c r="H64" s="25"/>
      <c r="I64" s="25"/>
      <c r="J64" s="25"/>
      <c r="K64" s="246"/>
      <c r="L64" s="321"/>
      <c r="M64" s="25"/>
      <c r="N64" s="25"/>
    </row>
    <row r="65" spans="2:3" x14ac:dyDescent="0.2">
      <c r="C65" s="152" t="s">
        <v>78</v>
      </c>
    </row>
    <row r="66" spans="2:3" ht="14.25" x14ac:dyDescent="0.2">
      <c r="B66" s="157"/>
      <c r="C66" s="130" t="s">
        <v>34</v>
      </c>
    </row>
    <row r="67" spans="2:3" ht="14.25" x14ac:dyDescent="0.2">
      <c r="B67" s="157"/>
      <c r="C67" s="130" t="s">
        <v>35</v>
      </c>
    </row>
    <row r="68" spans="2:3" ht="14.25" x14ac:dyDescent="0.2">
      <c r="B68" s="157"/>
      <c r="C68" s="17" t="s">
        <v>41</v>
      </c>
    </row>
    <row r="69" spans="2:3" ht="14.25" x14ac:dyDescent="0.2">
      <c r="B69" s="157"/>
      <c r="C69" s="17" t="s">
        <v>37</v>
      </c>
    </row>
    <row r="70" spans="2:3" ht="14.25" x14ac:dyDescent="0.2">
      <c r="B70" s="157"/>
      <c r="C70" s="17" t="s">
        <v>38</v>
      </c>
    </row>
    <row r="71" spans="2:3" ht="14.25" x14ac:dyDescent="0.2">
      <c r="B71" s="157"/>
      <c r="C71" s="17" t="s">
        <v>39</v>
      </c>
    </row>
    <row r="72" spans="2:3" ht="14.25" x14ac:dyDescent="0.2">
      <c r="B72" s="157"/>
      <c r="C72" s="130" t="s">
        <v>184</v>
      </c>
    </row>
    <row r="73" spans="2:3" ht="14.25" x14ac:dyDescent="0.2">
      <c r="B73" s="157"/>
      <c r="C73" s="17" t="s">
        <v>81</v>
      </c>
    </row>
    <row r="74" spans="2:3" ht="14.25" x14ac:dyDescent="0.2">
      <c r="B74" s="157"/>
      <c r="C74" s="17" t="s">
        <v>40</v>
      </c>
    </row>
    <row r="75" spans="2:3" ht="14.25" x14ac:dyDescent="0.2">
      <c r="B75" s="157"/>
      <c r="C75" s="17" t="s">
        <v>245</v>
      </c>
    </row>
    <row r="76" spans="2:3" ht="14.25" x14ac:dyDescent="0.2">
      <c r="B76" s="157"/>
      <c r="C76" s="17" t="s">
        <v>246</v>
      </c>
    </row>
    <row r="77" spans="2:3" ht="14.25" x14ac:dyDescent="0.2">
      <c r="B77" s="157"/>
      <c r="C77" s="17" t="s">
        <v>247</v>
      </c>
    </row>
    <row r="78" spans="2:3" ht="14.25" x14ac:dyDescent="0.2">
      <c r="B78" s="157"/>
      <c r="C78" s="17" t="s">
        <v>248</v>
      </c>
    </row>
    <row r="79" spans="2:3" ht="14.25" x14ac:dyDescent="0.2">
      <c r="B79" s="157"/>
      <c r="C79" s="17" t="s">
        <v>249</v>
      </c>
    </row>
    <row r="80" spans="2:3" ht="14.25" x14ac:dyDescent="0.2">
      <c r="B80" s="157"/>
      <c r="C80" s="17" t="s">
        <v>33</v>
      </c>
    </row>
    <row r="81" spans="2:16" ht="14.25" x14ac:dyDescent="0.2">
      <c r="B81" s="158"/>
      <c r="C81" s="17" t="s">
        <v>74</v>
      </c>
    </row>
    <row r="82" spans="2:16" ht="13.5" customHeight="1" x14ac:dyDescent="0.2">
      <c r="B82" s="158"/>
    </row>
    <row r="83" spans="2:16" ht="14.25" x14ac:dyDescent="0.2">
      <c r="B83" s="158"/>
      <c r="C83" s="134" t="s">
        <v>111</v>
      </c>
    </row>
    <row r="84" spans="2:16" ht="14.25" x14ac:dyDescent="0.2">
      <c r="B84" s="158"/>
    </row>
    <row r="85" spans="2:16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</row>
    <row r="86" spans="2:16" ht="9" customHeight="1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</row>
    <row r="87" spans="2:16" x14ac:dyDescent="0.2"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135"/>
      <c r="P87" s="135"/>
    </row>
  </sheetData>
  <mergeCells count="1">
    <mergeCell ref="C8:L8"/>
  </mergeCells>
  <phoneticPr fontId="7" type="noConversion"/>
  <printOptions horizontalCentered="1"/>
  <pageMargins left="1" right="1" top="1" bottom="1" header="0.5" footer="0.5"/>
  <pageSetup scale="81" orientation="portrait" horizontalDpi="300" verticalDpi="300" r:id="rId1"/>
  <headerFooter alignWithMargins="0"/>
  <rowBreaks count="1" manualBreakCount="1">
    <brk id="84" max="12" man="1"/>
  </rowBreaks>
  <ignoredErrors>
    <ignoredError sqref="K61:K63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66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19050</xdr:rowOff>
              </from>
              <to>
                <xdr:col>2</xdr:col>
                <xdr:colOff>209550</xdr:colOff>
                <xdr:row>2</xdr:row>
                <xdr:rowOff>133350</xdr:rowOff>
              </to>
            </anchor>
          </objectPr>
        </oleObject>
      </mc:Choice>
      <mc:Fallback>
        <oleObject progId="MSPhotoEd.3" shapeId="2662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2:AS90"/>
  <sheetViews>
    <sheetView zoomScaleNormal="100" zoomScaleSheetLayoutView="100" workbookViewId="0">
      <selection activeCell="Q9" sqref="Q9"/>
    </sheetView>
  </sheetViews>
  <sheetFormatPr defaultRowHeight="12.75" x14ac:dyDescent="0.2"/>
  <cols>
    <col min="1" max="1" width="2.5703125" style="17" customWidth="1"/>
    <col min="2" max="2" width="8.5703125" style="17" customWidth="1"/>
    <col min="3" max="3" width="7" style="17" customWidth="1"/>
    <col min="4" max="7" width="10" style="17" customWidth="1"/>
    <col min="8" max="8" width="10" style="17" hidden="1" customWidth="1"/>
    <col min="9" max="10" width="12" style="17" customWidth="1"/>
    <col min="11" max="12" width="10" style="17" customWidth="1"/>
    <col min="13" max="13" width="7.28515625" style="17" customWidth="1"/>
    <col min="14" max="16384" width="9.140625" style="17"/>
  </cols>
  <sheetData>
    <row r="2" spans="2:45" x14ac:dyDescent="0.2">
      <c r="K2" s="144" t="s">
        <v>253</v>
      </c>
    </row>
    <row r="4" spans="2:45" ht="15" x14ac:dyDescent="0.25">
      <c r="G4" s="187"/>
      <c r="H4" s="187"/>
      <c r="I4" s="187"/>
      <c r="J4" s="187"/>
      <c r="K4" s="177"/>
      <c r="L4" s="177"/>
      <c r="M4" s="177"/>
      <c r="N4" s="208"/>
      <c r="O4" s="208"/>
    </row>
    <row r="7" spans="2:45" ht="15.75" x14ac:dyDescent="0.25">
      <c r="B7" s="131">
        <v>12.09</v>
      </c>
      <c r="C7" s="399" t="s">
        <v>267</v>
      </c>
      <c r="D7" s="399"/>
      <c r="E7" s="399"/>
      <c r="F7" s="399"/>
      <c r="G7" s="399"/>
      <c r="H7" s="399"/>
      <c r="I7" s="399"/>
      <c r="J7" s="399"/>
      <c r="K7" s="399"/>
      <c r="L7" s="399"/>
      <c r="M7" s="399"/>
    </row>
    <row r="10" spans="2:45" ht="38.25" x14ac:dyDescent="0.2">
      <c r="C10" s="317" t="s">
        <v>0</v>
      </c>
      <c r="D10" s="317" t="s">
        <v>118</v>
      </c>
      <c r="E10" s="318" t="s">
        <v>119</v>
      </c>
      <c r="F10" s="318" t="s">
        <v>120</v>
      </c>
      <c r="G10" s="318" t="s">
        <v>121</v>
      </c>
      <c r="H10" s="318" t="s">
        <v>31</v>
      </c>
      <c r="I10" s="318" t="s">
        <v>244</v>
      </c>
      <c r="J10" s="318" t="s">
        <v>240</v>
      </c>
      <c r="K10" s="318" t="s">
        <v>66</v>
      </c>
      <c r="L10" s="318" t="s">
        <v>32</v>
      </c>
      <c r="M10" s="317"/>
    </row>
    <row r="11" spans="2:45" x14ac:dyDescent="0.2"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2:45" hidden="1" x14ac:dyDescent="0.2">
      <c r="C12" s="206">
        <v>1970</v>
      </c>
      <c r="D12" s="221"/>
      <c r="E12" s="221">
        <v>308</v>
      </c>
      <c r="F12" s="221">
        <v>148</v>
      </c>
      <c r="G12" s="221">
        <v>7</v>
      </c>
      <c r="H12" s="221"/>
      <c r="I12" s="221"/>
      <c r="J12" s="221"/>
      <c r="K12" s="221">
        <f t="shared" ref="K12:K22" si="0">SUM(D12:H12)</f>
        <v>463</v>
      </c>
      <c r="L12" s="224"/>
      <c r="M12" s="178"/>
      <c r="AS12" s="17">
        <v>4932.3999999999996</v>
      </c>
    </row>
    <row r="13" spans="2:45" hidden="1" x14ac:dyDescent="0.2">
      <c r="C13" s="206">
        <v>1971</v>
      </c>
      <c r="D13" s="221"/>
      <c r="E13" s="221">
        <v>368</v>
      </c>
      <c r="F13" s="221">
        <v>203</v>
      </c>
      <c r="G13" s="221">
        <v>14</v>
      </c>
      <c r="H13" s="221"/>
      <c r="I13" s="221"/>
      <c r="J13" s="221"/>
      <c r="K13" s="221">
        <f t="shared" si="0"/>
        <v>585</v>
      </c>
      <c r="L13" s="341">
        <f t="shared" ref="L13:L22" si="1">(K13/K12-1)*100</f>
        <v>26.349892008639308</v>
      </c>
      <c r="M13" s="178"/>
      <c r="AS13" s="17">
        <v>2281.6999999999998</v>
      </c>
    </row>
    <row r="14" spans="2:45" hidden="1" x14ac:dyDescent="0.2">
      <c r="C14" s="206">
        <v>1972</v>
      </c>
      <c r="D14" s="221"/>
      <c r="E14" s="221">
        <v>687</v>
      </c>
      <c r="F14" s="221">
        <v>284</v>
      </c>
      <c r="G14" s="221">
        <v>19</v>
      </c>
      <c r="H14" s="221"/>
      <c r="I14" s="221"/>
      <c r="J14" s="221"/>
      <c r="K14" s="221">
        <f t="shared" si="0"/>
        <v>990</v>
      </c>
      <c r="L14" s="341">
        <f t="shared" si="1"/>
        <v>69.230769230769226</v>
      </c>
      <c r="M14" s="178"/>
      <c r="AS14" s="17">
        <v>100.2</v>
      </c>
    </row>
    <row r="15" spans="2:45" hidden="1" x14ac:dyDescent="0.2">
      <c r="C15" s="206">
        <v>1973</v>
      </c>
      <c r="D15" s="221"/>
      <c r="E15" s="221">
        <v>767</v>
      </c>
      <c r="F15" s="221">
        <v>545</v>
      </c>
      <c r="G15" s="221">
        <v>50</v>
      </c>
      <c r="H15" s="221"/>
      <c r="I15" s="221"/>
      <c r="J15" s="221"/>
      <c r="K15" s="221">
        <f t="shared" si="0"/>
        <v>1362</v>
      </c>
      <c r="L15" s="341">
        <f t="shared" si="1"/>
        <v>37.575757575757571</v>
      </c>
      <c r="M15" s="178"/>
      <c r="AS15" s="17">
        <v>2181.5</v>
      </c>
    </row>
    <row r="16" spans="2:45" hidden="1" x14ac:dyDescent="0.2">
      <c r="C16" s="206">
        <v>1974</v>
      </c>
      <c r="D16" s="221"/>
      <c r="E16" s="221">
        <v>734</v>
      </c>
      <c r="F16" s="221">
        <v>704</v>
      </c>
      <c r="G16" s="221">
        <v>47</v>
      </c>
      <c r="H16" s="221"/>
      <c r="I16" s="221"/>
      <c r="J16" s="221"/>
      <c r="K16" s="221">
        <f t="shared" si="0"/>
        <v>1485</v>
      </c>
      <c r="L16" s="341">
        <f t="shared" si="1"/>
        <v>9.0308370044052779</v>
      </c>
      <c r="AS16" s="17">
        <v>2650.7</v>
      </c>
    </row>
    <row r="17" spans="3:45" hidden="1" x14ac:dyDescent="0.2">
      <c r="C17" s="206">
        <v>1975</v>
      </c>
      <c r="D17" s="221"/>
      <c r="E17" s="221">
        <v>819</v>
      </c>
      <c r="F17" s="221">
        <v>428</v>
      </c>
      <c r="G17" s="221">
        <v>14</v>
      </c>
      <c r="H17" s="221"/>
      <c r="I17" s="221"/>
      <c r="J17" s="221"/>
      <c r="K17" s="221">
        <f t="shared" si="0"/>
        <v>1261</v>
      </c>
      <c r="L17" s="341">
        <f t="shared" si="1"/>
        <v>-15.084175084175088</v>
      </c>
      <c r="AS17" s="17">
        <v>2971.2</v>
      </c>
    </row>
    <row r="18" spans="3:45" hidden="1" x14ac:dyDescent="0.2">
      <c r="C18" s="206">
        <v>1976</v>
      </c>
      <c r="D18" s="221"/>
      <c r="E18" s="221">
        <v>638</v>
      </c>
      <c r="F18" s="221">
        <v>639</v>
      </c>
      <c r="G18" s="221">
        <v>24</v>
      </c>
      <c r="H18" s="221"/>
      <c r="I18" s="221"/>
      <c r="J18" s="221"/>
      <c r="K18" s="221">
        <f t="shared" si="0"/>
        <v>1301</v>
      </c>
      <c r="L18" s="341">
        <f t="shared" si="1"/>
        <v>3.1720856463124614</v>
      </c>
      <c r="AS18" s="17">
        <v>243.6</v>
      </c>
    </row>
    <row r="19" spans="3:45" hidden="1" x14ac:dyDescent="0.2">
      <c r="C19" s="206">
        <v>1977</v>
      </c>
      <c r="D19" s="221"/>
      <c r="E19" s="221">
        <v>710</v>
      </c>
      <c r="F19" s="221">
        <v>840</v>
      </c>
      <c r="G19" s="221">
        <v>26</v>
      </c>
      <c r="H19" s="221"/>
      <c r="I19" s="221"/>
      <c r="J19" s="221"/>
      <c r="K19" s="221">
        <f t="shared" si="0"/>
        <v>1576</v>
      </c>
      <c r="L19" s="341">
        <f t="shared" si="1"/>
        <v>21.137586471944658</v>
      </c>
      <c r="AS19" s="17">
        <v>70.099999999999994</v>
      </c>
    </row>
    <row r="20" spans="3:45" hidden="1" x14ac:dyDescent="0.2">
      <c r="C20" s="206">
        <v>1978</v>
      </c>
      <c r="D20" s="221"/>
      <c r="E20" s="221">
        <v>826</v>
      </c>
      <c r="F20" s="221">
        <v>1011</v>
      </c>
      <c r="G20" s="221">
        <v>68</v>
      </c>
      <c r="H20" s="221"/>
      <c r="I20" s="221"/>
      <c r="J20" s="221"/>
      <c r="K20" s="221">
        <f t="shared" si="0"/>
        <v>1905</v>
      </c>
      <c r="L20" s="341">
        <f t="shared" si="1"/>
        <v>20.875634517766507</v>
      </c>
      <c r="AS20" s="17">
        <v>2657.5</v>
      </c>
    </row>
    <row r="21" spans="3:45" hidden="1" x14ac:dyDescent="0.2">
      <c r="C21" s="206">
        <v>1979</v>
      </c>
      <c r="D21" s="221"/>
      <c r="E21" s="221">
        <v>1020</v>
      </c>
      <c r="F21" s="221">
        <v>1457</v>
      </c>
      <c r="G21" s="221">
        <v>56</v>
      </c>
      <c r="H21" s="221"/>
      <c r="I21" s="221"/>
      <c r="J21" s="221"/>
      <c r="K21" s="221">
        <f t="shared" si="0"/>
        <v>2533</v>
      </c>
      <c r="L21" s="341">
        <f t="shared" si="1"/>
        <v>32.965879265091871</v>
      </c>
      <c r="AS21" s="17">
        <v>-320.5</v>
      </c>
    </row>
    <row r="22" spans="3:45" hidden="1" x14ac:dyDescent="0.2">
      <c r="C22" s="206">
        <v>1980</v>
      </c>
      <c r="D22" s="221"/>
      <c r="E22" s="221">
        <v>1159</v>
      </c>
      <c r="F22" s="221">
        <v>1751</v>
      </c>
      <c r="G22" s="221">
        <v>69</v>
      </c>
      <c r="H22" s="221"/>
      <c r="I22" s="221"/>
      <c r="J22" s="221"/>
      <c r="K22" s="221">
        <f t="shared" si="0"/>
        <v>2979</v>
      </c>
      <c r="L22" s="341">
        <f t="shared" si="1"/>
        <v>17.607579944729569</v>
      </c>
    </row>
    <row r="23" spans="3:45" hidden="1" x14ac:dyDescent="0.2">
      <c r="C23" s="206">
        <v>1981</v>
      </c>
      <c r="D23" s="221"/>
      <c r="E23" s="221">
        <v>1151</v>
      </c>
      <c r="F23" s="221">
        <v>1836</v>
      </c>
      <c r="G23" s="221">
        <v>65</v>
      </c>
      <c r="H23" s="221"/>
      <c r="I23" s="221"/>
      <c r="J23" s="221"/>
      <c r="K23" s="221">
        <f t="shared" ref="K23:K33" si="2">SUM(D23:H23)</f>
        <v>3052</v>
      </c>
      <c r="L23" s="341">
        <f>(K23/K22-1)*100</f>
        <v>2.450486740516955</v>
      </c>
      <c r="AS23" s="17">
        <v>4932.3999999999996</v>
      </c>
    </row>
    <row r="24" spans="3:45" hidden="1" x14ac:dyDescent="0.2">
      <c r="C24" s="206">
        <v>1982</v>
      </c>
      <c r="D24" s="221"/>
      <c r="E24" s="221">
        <v>948</v>
      </c>
      <c r="F24" s="221">
        <v>1927</v>
      </c>
      <c r="G24" s="221">
        <v>55</v>
      </c>
      <c r="H24" s="221"/>
      <c r="I24" s="221"/>
      <c r="J24" s="221"/>
      <c r="K24" s="221">
        <f t="shared" si="2"/>
        <v>2930</v>
      </c>
      <c r="L24" s="341">
        <f t="shared" ref="L24:L47" si="3">(K24/K23-1)*100</f>
        <v>-3.9973787680209649</v>
      </c>
      <c r="AS24" s="17">
        <v>1209.0999999999999</v>
      </c>
    </row>
    <row r="25" spans="3:45" hidden="1" x14ac:dyDescent="0.2">
      <c r="C25" s="206">
        <v>1983</v>
      </c>
      <c r="D25" s="221"/>
      <c r="E25" s="221">
        <v>693</v>
      </c>
      <c r="F25" s="221">
        <v>1549</v>
      </c>
      <c r="G25" s="221">
        <v>42</v>
      </c>
      <c r="H25" s="221"/>
      <c r="I25" s="221"/>
      <c r="J25" s="221"/>
      <c r="K25" s="221">
        <f t="shared" si="2"/>
        <v>2284</v>
      </c>
      <c r="L25" s="341">
        <f t="shared" si="3"/>
        <v>-22.047781569965874</v>
      </c>
      <c r="AS25" s="17">
        <v>95.5</v>
      </c>
    </row>
    <row r="26" spans="3:45" hidden="1" x14ac:dyDescent="0.2">
      <c r="C26" s="206">
        <v>1984</v>
      </c>
      <c r="D26" s="221"/>
      <c r="E26" s="221">
        <v>679</v>
      </c>
      <c r="F26" s="221">
        <v>1251</v>
      </c>
      <c r="G26" s="221">
        <v>34</v>
      </c>
      <c r="H26" s="221"/>
      <c r="I26" s="221"/>
      <c r="J26" s="221"/>
      <c r="K26" s="221">
        <f t="shared" si="2"/>
        <v>1964</v>
      </c>
      <c r="L26" s="341">
        <f t="shared" si="3"/>
        <v>-14.010507880910684</v>
      </c>
      <c r="AS26" s="17">
        <v>1113.5999999999999</v>
      </c>
    </row>
    <row r="27" spans="3:45" hidden="1" x14ac:dyDescent="0.2">
      <c r="C27" s="206">
        <v>1985</v>
      </c>
      <c r="D27" s="221"/>
      <c r="E27" s="221">
        <v>745</v>
      </c>
      <c r="F27" s="221">
        <v>1226</v>
      </c>
      <c r="G27" s="221">
        <v>46</v>
      </c>
      <c r="H27" s="221"/>
      <c r="I27" s="221"/>
      <c r="J27" s="221"/>
      <c r="K27" s="221">
        <f t="shared" si="2"/>
        <v>2017</v>
      </c>
      <c r="L27" s="341">
        <f t="shared" si="3"/>
        <v>2.6985743380855354</v>
      </c>
      <c r="AS27" s="17">
        <v>460.6</v>
      </c>
    </row>
    <row r="28" spans="3:45" hidden="1" x14ac:dyDescent="0.2">
      <c r="C28" s="206">
        <v>1986</v>
      </c>
      <c r="D28" s="221"/>
      <c r="E28" s="221">
        <v>739</v>
      </c>
      <c r="F28" s="221">
        <v>1280</v>
      </c>
      <c r="G28" s="221">
        <v>46</v>
      </c>
      <c r="H28" s="221"/>
      <c r="I28" s="221"/>
      <c r="J28" s="221"/>
      <c r="K28" s="221">
        <f t="shared" si="2"/>
        <v>2065</v>
      </c>
      <c r="L28" s="341">
        <f t="shared" si="3"/>
        <v>2.379771938522568</v>
      </c>
      <c r="AS28" s="17">
        <v>653</v>
      </c>
    </row>
    <row r="29" spans="3:45" hidden="1" x14ac:dyDescent="0.2">
      <c r="C29" s="206">
        <v>1987</v>
      </c>
      <c r="D29" s="221"/>
      <c r="E29" s="221">
        <v>879</v>
      </c>
      <c r="F29" s="221">
        <v>1514</v>
      </c>
      <c r="G29" s="221">
        <v>39</v>
      </c>
      <c r="H29" s="221"/>
      <c r="I29" s="221"/>
      <c r="J29" s="221"/>
      <c r="K29" s="221">
        <f t="shared" si="2"/>
        <v>2432</v>
      </c>
      <c r="L29" s="341">
        <f t="shared" si="3"/>
        <v>17.772397094430993</v>
      </c>
      <c r="AS29" s="17">
        <v>3723.3</v>
      </c>
    </row>
    <row r="30" spans="3:45" hidden="1" x14ac:dyDescent="0.2">
      <c r="C30" s="206">
        <v>1988</v>
      </c>
      <c r="D30" s="221"/>
      <c r="E30" s="221">
        <v>810</v>
      </c>
      <c r="F30" s="221">
        <v>2145</v>
      </c>
      <c r="G30" s="221">
        <v>57</v>
      </c>
      <c r="H30" s="221"/>
      <c r="I30" s="221"/>
      <c r="J30" s="221"/>
      <c r="K30" s="221">
        <f t="shared" si="2"/>
        <v>3012</v>
      </c>
      <c r="L30" s="341">
        <f t="shared" si="3"/>
        <v>23.848684210526304</v>
      </c>
      <c r="AS30" s="17">
        <v>3382</v>
      </c>
    </row>
    <row r="31" spans="3:45" hidden="1" x14ac:dyDescent="0.2">
      <c r="C31" s="206">
        <v>1989</v>
      </c>
      <c r="D31" s="221"/>
      <c r="E31" s="221">
        <v>928</v>
      </c>
      <c r="F31" s="221">
        <v>2240</v>
      </c>
      <c r="G31" s="221">
        <v>53</v>
      </c>
      <c r="H31" s="221"/>
      <c r="I31" s="221"/>
      <c r="J31" s="221"/>
      <c r="K31" s="221">
        <f t="shared" si="2"/>
        <v>3221</v>
      </c>
      <c r="L31" s="341">
        <f t="shared" si="3"/>
        <v>6.9389110225763551</v>
      </c>
    </row>
    <row r="32" spans="3:45" hidden="1" x14ac:dyDescent="0.2">
      <c r="C32" s="206">
        <v>1990</v>
      </c>
      <c r="D32" s="221">
        <v>1132</v>
      </c>
      <c r="E32" s="221">
        <v>309</v>
      </c>
      <c r="F32" s="221">
        <v>2384</v>
      </c>
      <c r="G32" s="221">
        <v>45</v>
      </c>
      <c r="H32" s="221"/>
      <c r="I32" s="221"/>
      <c r="J32" s="221"/>
      <c r="K32" s="221">
        <f t="shared" si="2"/>
        <v>3870</v>
      </c>
      <c r="L32" s="341">
        <f t="shared" si="3"/>
        <v>20.149022042843832</v>
      </c>
    </row>
    <row r="33" spans="2:13" hidden="1" x14ac:dyDescent="0.2">
      <c r="C33" s="206">
        <v>1991</v>
      </c>
      <c r="D33" s="221">
        <v>795</v>
      </c>
      <c r="E33" s="221">
        <v>315</v>
      </c>
      <c r="F33" s="221">
        <v>2066</v>
      </c>
      <c r="G33" s="221">
        <v>68</v>
      </c>
      <c r="H33" s="221"/>
      <c r="I33" s="221"/>
      <c r="J33" s="221"/>
      <c r="K33" s="221">
        <f t="shared" si="2"/>
        <v>3244</v>
      </c>
      <c r="L33" s="341">
        <f t="shared" si="3"/>
        <v>-16.175710594315241</v>
      </c>
    </row>
    <row r="34" spans="2:13" x14ac:dyDescent="0.2">
      <c r="C34" s="206">
        <v>1992</v>
      </c>
      <c r="D34" s="221">
        <v>964</v>
      </c>
      <c r="E34" s="221">
        <v>350</v>
      </c>
      <c r="F34" s="221">
        <v>2306</v>
      </c>
      <c r="G34" s="221">
        <v>43</v>
      </c>
      <c r="H34" s="221"/>
      <c r="I34" s="344" t="s">
        <v>188</v>
      </c>
      <c r="J34" s="344" t="s">
        <v>188</v>
      </c>
      <c r="K34" s="221">
        <f>SUM(D34:J34)</f>
        <v>3663</v>
      </c>
      <c r="L34" s="341">
        <f t="shared" si="3"/>
        <v>12.916152897657218</v>
      </c>
    </row>
    <row r="35" spans="2:13" x14ac:dyDescent="0.2">
      <c r="C35" s="206">
        <v>1993</v>
      </c>
      <c r="D35" s="221">
        <v>1156</v>
      </c>
      <c r="E35" s="221">
        <v>266</v>
      </c>
      <c r="F35" s="221">
        <v>2681</v>
      </c>
      <c r="G35" s="221">
        <v>61</v>
      </c>
      <c r="H35" s="221">
        <v>16</v>
      </c>
      <c r="I35" s="344" t="s">
        <v>188</v>
      </c>
      <c r="J35" s="344" t="s">
        <v>188</v>
      </c>
      <c r="K35" s="221">
        <f t="shared" ref="K35:K65" si="4">SUM(D35:J35)</f>
        <v>4180</v>
      </c>
      <c r="L35" s="341">
        <f t="shared" si="3"/>
        <v>14.114114114114118</v>
      </c>
    </row>
    <row r="36" spans="2:13" x14ac:dyDescent="0.2">
      <c r="C36" s="206">
        <v>1994</v>
      </c>
      <c r="D36" s="221">
        <v>1094</v>
      </c>
      <c r="E36" s="221">
        <v>342</v>
      </c>
      <c r="F36" s="221">
        <v>3865</v>
      </c>
      <c r="G36" s="221">
        <v>76</v>
      </c>
      <c r="H36" s="221">
        <v>32</v>
      </c>
      <c r="I36" s="344" t="s">
        <v>188</v>
      </c>
      <c r="J36" s="344" t="s">
        <v>188</v>
      </c>
      <c r="K36" s="221">
        <f t="shared" si="4"/>
        <v>5409</v>
      </c>
      <c r="L36" s="341">
        <f t="shared" si="3"/>
        <v>29.401913875598098</v>
      </c>
    </row>
    <row r="37" spans="2:13" x14ac:dyDescent="0.2">
      <c r="C37" s="206">
        <v>1995</v>
      </c>
      <c r="D37" s="221">
        <v>1040</v>
      </c>
      <c r="E37" s="221">
        <v>318</v>
      </c>
      <c r="F37" s="221">
        <v>4252</v>
      </c>
      <c r="G37" s="221">
        <v>85</v>
      </c>
      <c r="H37" s="221"/>
      <c r="I37" s="344" t="s">
        <v>188</v>
      </c>
      <c r="J37" s="344" t="s">
        <v>188</v>
      </c>
      <c r="K37" s="221">
        <f t="shared" si="4"/>
        <v>5695</v>
      </c>
      <c r="L37" s="341">
        <f t="shared" si="3"/>
        <v>5.2874838232575438</v>
      </c>
    </row>
    <row r="38" spans="2:13" x14ac:dyDescent="0.2">
      <c r="C38" s="206"/>
      <c r="D38" s="221"/>
      <c r="E38" s="221"/>
      <c r="F38" s="221"/>
      <c r="G38" s="221"/>
      <c r="H38" s="221"/>
      <c r="I38" s="344"/>
      <c r="J38" s="344"/>
      <c r="K38" s="221"/>
      <c r="L38" s="341"/>
    </row>
    <row r="39" spans="2:13" x14ac:dyDescent="0.2">
      <c r="C39" s="206">
        <v>1996</v>
      </c>
      <c r="D39" s="221">
        <v>1318</v>
      </c>
      <c r="E39" s="221">
        <v>378</v>
      </c>
      <c r="F39" s="221">
        <v>5340</v>
      </c>
      <c r="G39" s="221">
        <v>88</v>
      </c>
      <c r="H39" s="221"/>
      <c r="I39" s="344" t="s">
        <v>188</v>
      </c>
      <c r="J39" s="344" t="s">
        <v>188</v>
      </c>
      <c r="K39" s="221">
        <f t="shared" si="4"/>
        <v>7124</v>
      </c>
      <c r="L39" s="341">
        <f>(K39/K37-1)*100</f>
        <v>25.092186128182625</v>
      </c>
    </row>
    <row r="40" spans="2:13" x14ac:dyDescent="0.2">
      <c r="C40" s="206">
        <v>1997</v>
      </c>
      <c r="D40" s="221">
        <v>1326</v>
      </c>
      <c r="E40" s="221">
        <v>369</v>
      </c>
      <c r="F40" s="221">
        <v>6529</v>
      </c>
      <c r="G40" s="221">
        <v>97</v>
      </c>
      <c r="H40" s="221"/>
      <c r="I40" s="344" t="s">
        <v>188</v>
      </c>
      <c r="J40" s="344" t="s">
        <v>188</v>
      </c>
      <c r="K40" s="221">
        <f t="shared" si="4"/>
        <v>8321</v>
      </c>
      <c r="L40" s="341">
        <f>(K40/K39-1)*100</f>
        <v>16.802358225715896</v>
      </c>
    </row>
    <row r="41" spans="2:13" x14ac:dyDescent="0.2">
      <c r="C41" s="206">
        <v>1998</v>
      </c>
      <c r="D41" s="221">
        <v>1258</v>
      </c>
      <c r="E41" s="221">
        <v>383</v>
      </c>
      <c r="F41" s="221">
        <v>6783</v>
      </c>
      <c r="G41" s="221">
        <v>77</v>
      </c>
      <c r="H41" s="221"/>
      <c r="I41" s="344" t="s">
        <v>188</v>
      </c>
      <c r="J41" s="344" t="s">
        <v>188</v>
      </c>
      <c r="K41" s="221">
        <f t="shared" si="4"/>
        <v>8501</v>
      </c>
      <c r="L41" s="341">
        <f t="shared" si="3"/>
        <v>2.163201538276649</v>
      </c>
    </row>
    <row r="42" spans="2:13" x14ac:dyDescent="0.2">
      <c r="C42" s="206">
        <v>1999</v>
      </c>
      <c r="D42" s="221">
        <v>1523</v>
      </c>
      <c r="E42" s="221">
        <v>415</v>
      </c>
      <c r="F42" s="221">
        <v>7345</v>
      </c>
      <c r="G42" s="221">
        <v>116</v>
      </c>
      <c r="H42" s="221"/>
      <c r="I42" s="344" t="s">
        <v>188</v>
      </c>
      <c r="J42" s="344" t="s">
        <v>188</v>
      </c>
      <c r="K42" s="221">
        <f t="shared" si="4"/>
        <v>9399</v>
      </c>
      <c r="L42" s="341">
        <f t="shared" si="3"/>
        <v>10.563463121985638</v>
      </c>
    </row>
    <row r="43" spans="2:13" x14ac:dyDescent="0.2">
      <c r="C43" s="347">
        <v>2000</v>
      </c>
      <c r="D43" s="348">
        <v>2539</v>
      </c>
      <c r="E43" s="348">
        <v>377</v>
      </c>
      <c r="F43" s="348">
        <v>9595</v>
      </c>
      <c r="G43" s="348">
        <v>182</v>
      </c>
      <c r="H43" s="348"/>
      <c r="I43" s="344" t="s">
        <v>188</v>
      </c>
      <c r="J43" s="344" t="s">
        <v>188</v>
      </c>
      <c r="K43" s="221">
        <f t="shared" si="4"/>
        <v>12693</v>
      </c>
      <c r="L43" s="341">
        <f t="shared" si="3"/>
        <v>35.046281519310575</v>
      </c>
    </row>
    <row r="44" spans="2:13" x14ac:dyDescent="0.2">
      <c r="C44" s="347"/>
      <c r="D44" s="348"/>
      <c r="E44" s="348"/>
      <c r="F44" s="348"/>
      <c r="G44" s="348"/>
      <c r="H44" s="348"/>
      <c r="I44" s="344"/>
      <c r="J44" s="344"/>
      <c r="K44" s="221"/>
      <c r="L44" s="341"/>
    </row>
    <row r="45" spans="2:13" x14ac:dyDescent="0.2">
      <c r="B45" s="25"/>
      <c r="C45" s="319">
        <v>2001</v>
      </c>
      <c r="D45" s="246">
        <v>1365</v>
      </c>
      <c r="E45" s="246">
        <v>296</v>
      </c>
      <c r="F45" s="246">
        <v>6654</v>
      </c>
      <c r="G45" s="246">
        <v>141</v>
      </c>
      <c r="H45" s="246"/>
      <c r="I45" s="344" t="s">
        <v>188</v>
      </c>
      <c r="J45" s="344" t="s">
        <v>188</v>
      </c>
      <c r="K45" s="221">
        <f t="shared" si="4"/>
        <v>8456</v>
      </c>
      <c r="L45" s="321">
        <f>(K45/K43-1)*100</f>
        <v>-33.380603482234307</v>
      </c>
      <c r="M45" s="25"/>
    </row>
    <row r="46" spans="2:13" x14ac:dyDescent="0.2">
      <c r="B46" s="25"/>
      <c r="C46" s="319">
        <v>2002</v>
      </c>
      <c r="D46" s="246">
        <v>768</v>
      </c>
      <c r="E46" s="246">
        <v>310</v>
      </c>
      <c r="F46" s="246">
        <v>5795</v>
      </c>
      <c r="G46" s="246">
        <v>143</v>
      </c>
      <c r="H46" s="246"/>
      <c r="I46" s="344" t="s">
        <v>188</v>
      </c>
      <c r="J46" s="344" t="s">
        <v>188</v>
      </c>
      <c r="K46" s="221">
        <f t="shared" si="4"/>
        <v>7016</v>
      </c>
      <c r="L46" s="321">
        <f>(K46/K45-1)*100</f>
        <v>-17.02932828760644</v>
      </c>
      <c r="M46" s="25"/>
    </row>
    <row r="47" spans="2:13" x14ac:dyDescent="0.2">
      <c r="B47" s="25"/>
      <c r="C47" s="319">
        <v>2003</v>
      </c>
      <c r="D47" s="246">
        <v>692</v>
      </c>
      <c r="E47" s="246">
        <v>439</v>
      </c>
      <c r="F47" s="246">
        <v>5941</v>
      </c>
      <c r="G47" s="246">
        <v>182</v>
      </c>
      <c r="H47" s="246"/>
      <c r="I47" s="344" t="s">
        <v>188</v>
      </c>
      <c r="J47" s="344" t="s">
        <v>188</v>
      </c>
      <c r="K47" s="221">
        <f t="shared" si="4"/>
        <v>7254</v>
      </c>
      <c r="L47" s="321">
        <f t="shared" si="3"/>
        <v>3.3922462941847309</v>
      </c>
      <c r="M47" s="25"/>
    </row>
    <row r="48" spans="2:13" x14ac:dyDescent="0.2">
      <c r="B48" s="25"/>
      <c r="C48" s="319">
        <v>2004</v>
      </c>
      <c r="D48" s="246">
        <v>674</v>
      </c>
      <c r="E48" s="246">
        <v>530</v>
      </c>
      <c r="F48" s="246">
        <v>7480</v>
      </c>
      <c r="G48" s="246">
        <v>208</v>
      </c>
      <c r="H48" s="246"/>
      <c r="I48" s="344" t="s">
        <v>188</v>
      </c>
      <c r="J48" s="344" t="s">
        <v>188</v>
      </c>
      <c r="K48" s="221">
        <f t="shared" si="4"/>
        <v>8892</v>
      </c>
      <c r="L48" s="321">
        <f>(K48/K47-1)*100</f>
        <v>22.580645161290324</v>
      </c>
      <c r="M48" s="25"/>
    </row>
    <row r="49" spans="2:15" x14ac:dyDescent="0.2">
      <c r="B49" s="25"/>
      <c r="C49" s="319">
        <v>2005</v>
      </c>
      <c r="D49" s="246">
        <v>595</v>
      </c>
      <c r="E49" s="246">
        <v>650</v>
      </c>
      <c r="F49" s="246">
        <v>8694</v>
      </c>
      <c r="G49" s="246">
        <v>271</v>
      </c>
      <c r="H49" s="246"/>
      <c r="I49" s="344" t="s">
        <v>188</v>
      </c>
      <c r="J49" s="344" t="s">
        <v>188</v>
      </c>
      <c r="K49" s="221">
        <f t="shared" si="4"/>
        <v>10210</v>
      </c>
      <c r="L49" s="321">
        <f>(K49/K48-1)*100</f>
        <v>14.822312190733244</v>
      </c>
      <c r="M49" s="25"/>
    </row>
    <row r="50" spans="2:15" x14ac:dyDescent="0.2">
      <c r="B50" s="25"/>
      <c r="C50" s="319"/>
      <c r="D50" s="246"/>
      <c r="E50" s="246"/>
      <c r="F50" s="246"/>
      <c r="G50" s="246"/>
      <c r="H50" s="246"/>
      <c r="I50" s="344"/>
      <c r="J50" s="344"/>
      <c r="K50" s="221"/>
      <c r="L50" s="321"/>
      <c r="M50" s="25"/>
    </row>
    <row r="51" spans="2:15" x14ac:dyDescent="0.2">
      <c r="B51" s="25"/>
      <c r="C51" s="319">
        <v>2006</v>
      </c>
      <c r="D51" s="246">
        <v>569</v>
      </c>
      <c r="E51" s="246">
        <v>588</v>
      </c>
      <c r="F51" s="246">
        <v>10735</v>
      </c>
      <c r="G51" s="246">
        <v>385</v>
      </c>
      <c r="H51" s="246"/>
      <c r="I51" s="344" t="s">
        <v>188</v>
      </c>
      <c r="J51" s="344" t="s">
        <v>188</v>
      </c>
      <c r="K51" s="221">
        <f t="shared" si="4"/>
        <v>12277</v>
      </c>
      <c r="L51" s="321">
        <f>(K51/K49-1)*100</f>
        <v>20.244857982370235</v>
      </c>
      <c r="M51" s="25"/>
    </row>
    <row r="52" spans="2:15" x14ac:dyDescent="0.2">
      <c r="B52" s="25"/>
      <c r="C52" s="319">
        <v>2007</v>
      </c>
      <c r="D52" s="246">
        <v>533</v>
      </c>
      <c r="E52" s="246">
        <v>531</v>
      </c>
      <c r="F52" s="246">
        <v>12697</v>
      </c>
      <c r="G52" s="246">
        <v>477</v>
      </c>
      <c r="H52" s="246"/>
      <c r="I52" s="344" t="s">
        <v>188</v>
      </c>
      <c r="J52" s="344" t="s">
        <v>188</v>
      </c>
      <c r="K52" s="221">
        <f t="shared" si="4"/>
        <v>14238</v>
      </c>
      <c r="L52" s="321">
        <f>(K52/K51-1)*100</f>
        <v>15.972957562922542</v>
      </c>
      <c r="M52" s="25"/>
    </row>
    <row r="53" spans="2:15" x14ac:dyDescent="0.2">
      <c r="C53" s="319">
        <v>2008</v>
      </c>
      <c r="D53" s="246">
        <v>293</v>
      </c>
      <c r="E53" s="246">
        <v>510</v>
      </c>
      <c r="F53" s="246">
        <v>10536</v>
      </c>
      <c r="G53" s="246">
        <v>522</v>
      </c>
      <c r="H53" s="25"/>
      <c r="I53" s="344" t="s">
        <v>188</v>
      </c>
      <c r="J53" s="344" t="s">
        <v>188</v>
      </c>
      <c r="K53" s="221">
        <f t="shared" si="4"/>
        <v>11861</v>
      </c>
      <c r="L53" s="349">
        <f t="shared" ref="L53:L59" si="5">(K53/K52-1)*100</f>
        <v>-16.694760500070238</v>
      </c>
      <c r="M53" s="25"/>
      <c r="N53" s="25"/>
      <c r="O53" s="25"/>
    </row>
    <row r="54" spans="2:15" x14ac:dyDescent="0.2">
      <c r="C54" s="319">
        <v>2009</v>
      </c>
      <c r="D54" s="246">
        <v>220</v>
      </c>
      <c r="E54" s="246">
        <v>487</v>
      </c>
      <c r="F54" s="246">
        <v>6764</v>
      </c>
      <c r="G54" s="246">
        <v>392</v>
      </c>
      <c r="H54" s="25"/>
      <c r="I54" s="344" t="s">
        <v>188</v>
      </c>
      <c r="J54" s="344" t="s">
        <v>188</v>
      </c>
      <c r="K54" s="221">
        <f t="shared" si="4"/>
        <v>7863</v>
      </c>
      <c r="L54" s="349">
        <f t="shared" si="5"/>
        <v>-33.707107326532338</v>
      </c>
      <c r="M54" s="25"/>
      <c r="N54" s="25"/>
      <c r="O54" s="25"/>
    </row>
    <row r="55" spans="2:15" x14ac:dyDescent="0.2">
      <c r="C55" s="319">
        <v>2010</v>
      </c>
      <c r="D55" s="246">
        <v>230</v>
      </c>
      <c r="E55" s="246">
        <v>432</v>
      </c>
      <c r="F55" s="246">
        <v>7104</v>
      </c>
      <c r="G55" s="246">
        <v>391</v>
      </c>
      <c r="H55" s="25"/>
      <c r="I55" s="344" t="s">
        <v>188</v>
      </c>
      <c r="J55" s="344" t="s">
        <v>188</v>
      </c>
      <c r="K55" s="221">
        <f t="shared" si="4"/>
        <v>8157</v>
      </c>
      <c r="L55" s="349">
        <f t="shared" si="5"/>
        <v>3.7390309042350189</v>
      </c>
      <c r="M55" s="25"/>
      <c r="N55" s="25"/>
      <c r="O55" s="25"/>
    </row>
    <row r="56" spans="2:15" x14ac:dyDescent="0.2">
      <c r="C56" s="319"/>
      <c r="D56" s="246"/>
      <c r="E56" s="246"/>
      <c r="F56" s="246"/>
      <c r="G56" s="246"/>
      <c r="H56" s="25"/>
      <c r="I56" s="344"/>
      <c r="J56" s="344"/>
      <c r="K56" s="221"/>
      <c r="L56" s="349"/>
      <c r="M56" s="25"/>
      <c r="N56" s="25"/>
      <c r="O56" s="25"/>
    </row>
    <row r="57" spans="2:15" x14ac:dyDescent="0.2">
      <c r="C57" s="319">
        <v>2011</v>
      </c>
      <c r="D57" s="246">
        <v>156</v>
      </c>
      <c r="E57" s="246">
        <v>485</v>
      </c>
      <c r="F57" s="246">
        <v>7980</v>
      </c>
      <c r="G57" s="246">
        <v>443</v>
      </c>
      <c r="H57" s="25"/>
      <c r="I57" s="344" t="s">
        <v>188</v>
      </c>
      <c r="J57" s="344" t="s">
        <v>188</v>
      </c>
      <c r="K57" s="221">
        <f t="shared" si="4"/>
        <v>9064</v>
      </c>
      <c r="L57" s="349">
        <f>(K57/K55-1)*100</f>
        <v>11.119284050508771</v>
      </c>
      <c r="M57" s="25"/>
      <c r="N57" s="25"/>
      <c r="O57" s="25"/>
    </row>
    <row r="58" spans="2:15" x14ac:dyDescent="0.2">
      <c r="C58" s="319">
        <v>2012</v>
      </c>
      <c r="D58" s="246">
        <v>69</v>
      </c>
      <c r="E58" s="246">
        <v>506</v>
      </c>
      <c r="F58" s="246">
        <v>7940</v>
      </c>
      <c r="G58" s="246">
        <v>456</v>
      </c>
      <c r="H58" s="25"/>
      <c r="I58" s="344" t="s">
        <v>188</v>
      </c>
      <c r="J58" s="344" t="s">
        <v>188</v>
      </c>
      <c r="K58" s="221">
        <f t="shared" si="4"/>
        <v>8971</v>
      </c>
      <c r="L58" s="349">
        <f t="shared" si="5"/>
        <v>-1.0260370697263932</v>
      </c>
      <c r="M58" s="25"/>
      <c r="N58" s="25"/>
      <c r="O58" s="25"/>
    </row>
    <row r="59" spans="2:15" x14ac:dyDescent="0.2">
      <c r="C59" s="319">
        <v>2013</v>
      </c>
      <c r="D59" s="246">
        <v>48</v>
      </c>
      <c r="E59" s="246">
        <v>430</v>
      </c>
      <c r="F59" s="246">
        <v>8380</v>
      </c>
      <c r="G59" s="246">
        <v>575</v>
      </c>
      <c r="H59" s="25"/>
      <c r="I59" s="344" t="s">
        <v>188</v>
      </c>
      <c r="J59" s="344" t="s">
        <v>188</v>
      </c>
      <c r="K59" s="221">
        <f t="shared" si="4"/>
        <v>9433</v>
      </c>
      <c r="L59" s="349">
        <f t="shared" si="5"/>
        <v>5.1499275443094517</v>
      </c>
      <c r="M59" s="25"/>
      <c r="N59" s="25"/>
      <c r="O59" s="25"/>
    </row>
    <row r="60" spans="2:15" x14ac:dyDescent="0.2">
      <c r="C60" s="319">
        <v>2014</v>
      </c>
      <c r="D60" s="246">
        <v>29</v>
      </c>
      <c r="E60" s="246">
        <v>408</v>
      </c>
      <c r="F60" s="246">
        <v>9981</v>
      </c>
      <c r="G60" s="246">
        <v>592</v>
      </c>
      <c r="H60" s="25"/>
      <c r="I60" s="344" t="s">
        <v>51</v>
      </c>
      <c r="J60" s="344" t="s">
        <v>188</v>
      </c>
      <c r="K60" s="221">
        <f t="shared" si="4"/>
        <v>11010</v>
      </c>
      <c r="L60" s="349">
        <f t="shared" ref="L60:L67" si="6">(K60/K59-1)*100</f>
        <v>16.717905226333095</v>
      </c>
      <c r="M60" s="25"/>
      <c r="N60" s="25"/>
      <c r="O60" s="25"/>
    </row>
    <row r="61" spans="2:15" x14ac:dyDescent="0.2">
      <c r="C61" s="319">
        <v>2015</v>
      </c>
      <c r="D61" s="246">
        <v>40</v>
      </c>
      <c r="E61" s="246">
        <v>506</v>
      </c>
      <c r="F61" s="246">
        <v>10672</v>
      </c>
      <c r="G61" s="246">
        <v>657</v>
      </c>
      <c r="H61" s="25"/>
      <c r="I61" s="344" t="s">
        <v>51</v>
      </c>
      <c r="J61" s="344" t="s">
        <v>188</v>
      </c>
      <c r="K61" s="221">
        <f t="shared" si="4"/>
        <v>11875</v>
      </c>
      <c r="L61" s="349">
        <f t="shared" si="6"/>
        <v>7.8564940962761121</v>
      </c>
      <c r="M61" s="25"/>
      <c r="N61" s="25"/>
      <c r="O61" s="25"/>
    </row>
    <row r="62" spans="2:15" x14ac:dyDescent="0.2">
      <c r="C62" s="319"/>
      <c r="D62" s="246"/>
      <c r="E62" s="246"/>
      <c r="F62" s="246"/>
      <c r="G62" s="246"/>
      <c r="H62" s="25"/>
      <c r="I62" s="344"/>
      <c r="J62" s="344"/>
      <c r="K62" s="221"/>
      <c r="L62" s="349"/>
      <c r="M62" s="25"/>
      <c r="N62" s="25"/>
      <c r="O62" s="25"/>
    </row>
    <row r="63" spans="2:15" x14ac:dyDescent="0.2">
      <c r="C63" s="319">
        <v>2016</v>
      </c>
      <c r="D63" s="246">
        <v>29</v>
      </c>
      <c r="E63" s="246">
        <v>518</v>
      </c>
      <c r="F63" s="246">
        <v>9812</v>
      </c>
      <c r="G63" s="246">
        <v>610</v>
      </c>
      <c r="H63" s="25"/>
      <c r="I63" s="25">
        <v>205</v>
      </c>
      <c r="J63" s="344" t="s">
        <v>188</v>
      </c>
      <c r="K63" s="221">
        <f t="shared" si="4"/>
        <v>11174</v>
      </c>
      <c r="L63" s="349">
        <f>(K63/K61-1)*100</f>
        <v>-5.903157894736843</v>
      </c>
      <c r="M63" s="25"/>
      <c r="N63" s="25"/>
      <c r="O63" s="25"/>
    </row>
    <row r="64" spans="2:15" x14ac:dyDescent="0.2">
      <c r="C64" s="319">
        <v>2017</v>
      </c>
      <c r="D64" s="246">
        <v>25</v>
      </c>
      <c r="E64" s="246">
        <v>583</v>
      </c>
      <c r="F64" s="246">
        <v>11138</v>
      </c>
      <c r="G64" s="246">
        <v>589</v>
      </c>
      <c r="H64" s="25"/>
      <c r="I64" s="25">
        <v>711</v>
      </c>
      <c r="J64" s="344" t="s">
        <v>188</v>
      </c>
      <c r="K64" s="221">
        <f t="shared" si="4"/>
        <v>13046</v>
      </c>
      <c r="L64" s="349">
        <f t="shared" si="6"/>
        <v>16.753177018077679</v>
      </c>
      <c r="M64" s="25"/>
      <c r="N64" s="25"/>
      <c r="O64" s="25"/>
    </row>
    <row r="65" spans="2:15" x14ac:dyDescent="0.2">
      <c r="C65" s="319">
        <v>2018</v>
      </c>
      <c r="D65" s="246">
        <v>15</v>
      </c>
      <c r="E65" s="246">
        <v>726</v>
      </c>
      <c r="F65" s="246">
        <v>13812</v>
      </c>
      <c r="G65" s="246">
        <v>761</v>
      </c>
      <c r="H65" s="25"/>
      <c r="I65" s="25">
        <v>928</v>
      </c>
      <c r="J65" s="25">
        <v>84</v>
      </c>
      <c r="K65" s="221">
        <f t="shared" si="4"/>
        <v>16326</v>
      </c>
      <c r="L65" s="349">
        <f t="shared" si="6"/>
        <v>25.141805917522618</v>
      </c>
      <c r="M65" s="25"/>
      <c r="N65" s="25"/>
      <c r="O65" s="25"/>
    </row>
    <row r="66" spans="2:15" x14ac:dyDescent="0.2">
      <c r="C66" s="319">
        <v>2019</v>
      </c>
      <c r="D66" s="246">
        <v>25</v>
      </c>
      <c r="E66" s="246">
        <v>738</v>
      </c>
      <c r="F66" s="246">
        <v>10448</v>
      </c>
      <c r="G66" s="246">
        <v>694</v>
      </c>
      <c r="H66" s="25"/>
      <c r="I66" s="25">
        <v>862</v>
      </c>
      <c r="J66" s="25">
        <v>55</v>
      </c>
      <c r="K66" s="246">
        <f>SUM(D66:J66)</f>
        <v>12822</v>
      </c>
      <c r="L66" s="349">
        <f t="shared" si="6"/>
        <v>-21.462697537669971</v>
      </c>
      <c r="M66" s="25"/>
      <c r="N66" s="25"/>
      <c r="O66" s="25"/>
    </row>
    <row r="67" spans="2:15" x14ac:dyDescent="0.2">
      <c r="C67" s="339">
        <v>2020</v>
      </c>
      <c r="D67" s="242">
        <v>13</v>
      </c>
      <c r="E67" s="242">
        <v>648</v>
      </c>
      <c r="F67" s="242">
        <v>9360</v>
      </c>
      <c r="G67" s="242">
        <v>751</v>
      </c>
      <c r="H67" s="133"/>
      <c r="I67" s="133">
        <v>916</v>
      </c>
      <c r="J67" s="133">
        <v>43</v>
      </c>
      <c r="K67" s="242">
        <f>SUM(D67:J67)</f>
        <v>11731</v>
      </c>
      <c r="L67" s="350">
        <f t="shared" si="6"/>
        <v>-8.5088129776945909</v>
      </c>
      <c r="M67" s="133"/>
      <c r="N67" s="25"/>
      <c r="O67" s="25"/>
    </row>
    <row r="68" spans="2:15" x14ac:dyDescent="0.2">
      <c r="C68" s="319"/>
      <c r="D68" s="246"/>
      <c r="E68" s="246"/>
      <c r="F68" s="246"/>
      <c r="G68" s="246"/>
      <c r="H68" s="25"/>
      <c r="I68" s="25"/>
      <c r="J68" s="25"/>
      <c r="K68" s="246"/>
      <c r="L68" s="349"/>
      <c r="M68" s="25"/>
      <c r="N68" s="25"/>
      <c r="O68" s="25"/>
    </row>
    <row r="69" spans="2:15" x14ac:dyDescent="0.2">
      <c r="C69" s="152" t="s">
        <v>78</v>
      </c>
    </row>
    <row r="70" spans="2:15" ht="14.25" x14ac:dyDescent="0.2">
      <c r="B70" s="157"/>
      <c r="C70" s="17" t="s">
        <v>34</v>
      </c>
    </row>
    <row r="71" spans="2:15" ht="14.25" x14ac:dyDescent="0.2">
      <c r="B71" s="157"/>
      <c r="C71" s="17" t="s">
        <v>35</v>
      </c>
    </row>
    <row r="72" spans="2:15" ht="14.25" x14ac:dyDescent="0.2">
      <c r="B72" s="157"/>
      <c r="C72" s="17" t="s">
        <v>36</v>
      </c>
    </row>
    <row r="73" spans="2:15" ht="14.25" x14ac:dyDescent="0.2">
      <c r="B73" s="157"/>
      <c r="C73" s="17" t="s">
        <v>37</v>
      </c>
    </row>
    <row r="74" spans="2:15" ht="14.25" x14ac:dyDescent="0.2">
      <c r="B74" s="157"/>
      <c r="C74" s="17" t="s">
        <v>38</v>
      </c>
    </row>
    <row r="75" spans="2:15" ht="14.25" x14ac:dyDescent="0.2">
      <c r="B75" s="157"/>
      <c r="C75" s="17" t="s">
        <v>122</v>
      </c>
    </row>
    <row r="76" spans="2:15" ht="14.25" x14ac:dyDescent="0.2">
      <c r="B76" s="157"/>
      <c r="C76" s="130" t="s">
        <v>184</v>
      </c>
    </row>
    <row r="77" spans="2:15" ht="14.25" x14ac:dyDescent="0.2">
      <c r="B77" s="157"/>
      <c r="C77" s="17" t="s">
        <v>81</v>
      </c>
    </row>
    <row r="78" spans="2:15" ht="14.25" x14ac:dyDescent="0.2">
      <c r="B78" s="157"/>
      <c r="C78" s="17" t="s">
        <v>40</v>
      </c>
    </row>
    <row r="79" spans="2:15" ht="14.25" x14ac:dyDescent="0.2">
      <c r="B79" s="157"/>
      <c r="C79" s="17" t="s">
        <v>245</v>
      </c>
    </row>
    <row r="80" spans="2:15" ht="14.25" x14ac:dyDescent="0.2">
      <c r="B80" s="157"/>
      <c r="C80" s="17" t="s">
        <v>246</v>
      </c>
    </row>
    <row r="81" spans="2:17" ht="14.25" x14ac:dyDescent="0.2">
      <c r="B81" s="157"/>
      <c r="C81" s="17" t="s">
        <v>247</v>
      </c>
    </row>
    <row r="82" spans="2:17" ht="14.25" x14ac:dyDescent="0.2">
      <c r="B82" s="157"/>
      <c r="C82" s="17" t="s">
        <v>248</v>
      </c>
    </row>
    <row r="83" spans="2:17" ht="14.25" x14ac:dyDescent="0.2">
      <c r="B83" s="157"/>
      <c r="C83" s="17" t="s">
        <v>249</v>
      </c>
    </row>
    <row r="84" spans="2:17" ht="14.25" x14ac:dyDescent="0.2">
      <c r="B84" s="157"/>
      <c r="C84" s="17" t="s">
        <v>33</v>
      </c>
    </row>
    <row r="85" spans="2:17" ht="14.25" x14ac:dyDescent="0.2">
      <c r="B85" s="158"/>
      <c r="C85" s="17" t="s">
        <v>74</v>
      </c>
    </row>
    <row r="86" spans="2:17" ht="14.25" x14ac:dyDescent="0.2">
      <c r="B86" s="158"/>
    </row>
    <row r="87" spans="2:17" ht="14.25" x14ac:dyDescent="0.2">
      <c r="B87" s="158"/>
      <c r="C87" s="134" t="s">
        <v>111</v>
      </c>
    </row>
    <row r="88" spans="2:17" ht="14.25" x14ac:dyDescent="0.2">
      <c r="B88" s="158"/>
    </row>
    <row r="89" spans="2:17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2:17" x14ac:dyDescent="0.2"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135"/>
      <c r="Q90" s="135"/>
    </row>
  </sheetData>
  <mergeCells count="1">
    <mergeCell ref="C7:M7"/>
  </mergeCells>
  <phoneticPr fontId="7" type="noConversion"/>
  <printOptions horizontalCentered="1"/>
  <pageMargins left="1" right="1" top="1" bottom="1" header="0.5" footer="0.24"/>
  <pageSetup scale="79" orientation="portrait" horizontalDpi="300" verticalDpi="300" r:id="rId1"/>
  <headerFooter alignWithMargins="0"/>
  <ignoredErrors>
    <ignoredError sqref="K65:K66 K67:L67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5601" r:id="rId4">
          <objectPr defaultSize="0" autoPict="0" r:id="rId5">
            <anchor moveWithCells="1" sizeWithCells="1">
              <from>
                <xdr:col>0</xdr:col>
                <xdr:colOff>114300</xdr:colOff>
                <xdr:row>1</xdr:row>
                <xdr:rowOff>28575</xdr:rowOff>
              </from>
              <to>
                <xdr:col>2</xdr:col>
                <xdr:colOff>114300</xdr:colOff>
                <xdr:row>2</xdr:row>
                <xdr:rowOff>152400</xdr:rowOff>
              </to>
            </anchor>
          </objectPr>
        </oleObject>
      </mc:Choice>
      <mc:Fallback>
        <oleObject progId="MSPhotoEd.3" shapeId="2560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28"/>
  <sheetViews>
    <sheetView zoomScaleNormal="100" workbookViewId="0">
      <selection activeCell="K7" sqref="K7"/>
    </sheetView>
  </sheetViews>
  <sheetFormatPr defaultRowHeight="12.75" x14ac:dyDescent="0.2"/>
  <cols>
    <col min="1" max="3" width="9.140625" style="17"/>
    <col min="4" max="4" width="16.85546875" style="17" customWidth="1"/>
    <col min="5" max="5" width="15.140625" style="17" customWidth="1"/>
    <col min="6" max="6" width="12.5703125" style="17" customWidth="1"/>
    <col min="7" max="7" width="12.85546875" style="17" customWidth="1"/>
    <col min="8" max="8" width="16" style="17" customWidth="1"/>
    <col min="9" max="16384" width="9.140625" style="17"/>
  </cols>
  <sheetData>
    <row r="2" spans="1:33" x14ac:dyDescent="0.2">
      <c r="G2" s="144" t="s">
        <v>253</v>
      </c>
    </row>
    <row r="5" spans="1:33" ht="15.75" x14ac:dyDescent="0.25">
      <c r="A5" s="131">
        <v>12.1</v>
      </c>
      <c r="B5" s="443" t="s">
        <v>261</v>
      </c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</row>
    <row r="7" spans="1:33" ht="38.25" x14ac:dyDescent="0.2">
      <c r="C7" s="436" t="s">
        <v>0</v>
      </c>
      <c r="D7" s="351" t="s">
        <v>196</v>
      </c>
      <c r="E7" s="438" t="s">
        <v>242</v>
      </c>
      <c r="F7" s="439"/>
      <c r="G7" s="440"/>
      <c r="H7" s="441" t="s">
        <v>197</v>
      </c>
    </row>
    <row r="8" spans="1:33" ht="38.25" x14ac:dyDescent="0.2">
      <c r="C8" s="437"/>
      <c r="D8" s="351" t="s">
        <v>198</v>
      </c>
      <c r="E8" s="352" t="s">
        <v>251</v>
      </c>
      <c r="F8" s="352" t="s">
        <v>243</v>
      </c>
      <c r="G8" s="353" t="s">
        <v>241</v>
      </c>
      <c r="H8" s="442"/>
    </row>
    <row r="9" spans="1:33" x14ac:dyDescent="0.2">
      <c r="C9" s="354">
        <v>2003</v>
      </c>
      <c r="D9" s="355">
        <v>27</v>
      </c>
      <c r="E9" s="355">
        <v>565</v>
      </c>
      <c r="F9" s="355">
        <v>79</v>
      </c>
      <c r="G9" s="355">
        <v>644</v>
      </c>
      <c r="H9" s="355">
        <v>671</v>
      </c>
    </row>
    <row r="10" spans="1:33" x14ac:dyDescent="0.2">
      <c r="C10" s="354">
        <v>2004</v>
      </c>
      <c r="D10" s="355">
        <v>27</v>
      </c>
      <c r="E10" s="355">
        <v>604</v>
      </c>
      <c r="F10" s="355">
        <v>89</v>
      </c>
      <c r="G10" s="355">
        <v>693</v>
      </c>
      <c r="H10" s="355">
        <v>720</v>
      </c>
    </row>
    <row r="11" spans="1:33" x14ac:dyDescent="0.2">
      <c r="C11" s="354">
        <v>2005</v>
      </c>
      <c r="D11" s="355">
        <v>26</v>
      </c>
      <c r="E11" s="355">
        <v>632</v>
      </c>
      <c r="F11" s="355">
        <v>101</v>
      </c>
      <c r="G11" s="355">
        <v>733</v>
      </c>
      <c r="H11" s="355">
        <v>759</v>
      </c>
    </row>
    <row r="12" spans="1:33" x14ac:dyDescent="0.2">
      <c r="C12" s="354">
        <v>2006</v>
      </c>
      <c r="D12" s="355">
        <v>27</v>
      </c>
      <c r="E12" s="355">
        <v>623</v>
      </c>
      <c r="F12" s="355">
        <v>117</v>
      </c>
      <c r="G12" s="355">
        <v>740</v>
      </c>
      <c r="H12" s="355">
        <v>767</v>
      </c>
    </row>
    <row r="13" spans="1:33" x14ac:dyDescent="0.2">
      <c r="C13" s="354">
        <v>2007</v>
      </c>
      <c r="D13" s="355">
        <v>28</v>
      </c>
      <c r="E13" s="355">
        <v>641</v>
      </c>
      <c r="F13" s="355">
        <v>124</v>
      </c>
      <c r="G13" s="355">
        <v>765</v>
      </c>
      <c r="H13" s="355">
        <v>793</v>
      </c>
    </row>
    <row r="14" spans="1:33" x14ac:dyDescent="0.2">
      <c r="C14" s="354">
        <v>2008</v>
      </c>
      <c r="D14" s="355">
        <v>28</v>
      </c>
      <c r="E14" s="355">
        <v>652</v>
      </c>
      <c r="F14" s="355">
        <v>125</v>
      </c>
      <c r="G14" s="355">
        <v>777</v>
      </c>
      <c r="H14" s="355">
        <v>805</v>
      </c>
    </row>
    <row r="15" spans="1:33" x14ac:dyDescent="0.2">
      <c r="C15" s="354">
        <v>2009</v>
      </c>
      <c r="D15" s="355">
        <v>28</v>
      </c>
      <c r="E15" s="355">
        <v>650</v>
      </c>
      <c r="F15" s="355">
        <v>130</v>
      </c>
      <c r="G15" s="355">
        <v>780</v>
      </c>
      <c r="H15" s="355">
        <v>808</v>
      </c>
    </row>
    <row r="16" spans="1:33" x14ac:dyDescent="0.2">
      <c r="C16" s="354">
        <v>2010</v>
      </c>
      <c r="D16" s="355">
        <v>30</v>
      </c>
      <c r="E16" s="355">
        <v>619</v>
      </c>
      <c r="F16" s="355">
        <v>119</v>
      </c>
      <c r="G16" s="355">
        <v>738</v>
      </c>
      <c r="H16" s="355">
        <v>768</v>
      </c>
    </row>
    <row r="17" spans="3:8" x14ac:dyDescent="0.2">
      <c r="C17" s="354">
        <v>2011</v>
      </c>
      <c r="D17" s="355">
        <v>27</v>
      </c>
      <c r="E17" s="355">
        <v>615</v>
      </c>
      <c r="F17" s="355">
        <v>124</v>
      </c>
      <c r="G17" s="355">
        <v>739</v>
      </c>
      <c r="H17" s="355">
        <v>766</v>
      </c>
    </row>
    <row r="18" spans="3:8" x14ac:dyDescent="0.2">
      <c r="C18" s="354">
        <v>2012</v>
      </c>
      <c r="D18" s="355">
        <v>27</v>
      </c>
      <c r="E18" s="355">
        <v>608</v>
      </c>
      <c r="F18" s="355">
        <v>133</v>
      </c>
      <c r="G18" s="355">
        <v>741</v>
      </c>
      <c r="H18" s="355">
        <v>768</v>
      </c>
    </row>
    <row r="19" spans="3:8" x14ac:dyDescent="0.2">
      <c r="C19" s="354">
        <v>2013</v>
      </c>
      <c r="D19" s="355">
        <v>27</v>
      </c>
      <c r="E19" s="355">
        <v>571</v>
      </c>
      <c r="F19" s="355">
        <v>148</v>
      </c>
      <c r="G19" s="355">
        <v>761</v>
      </c>
      <c r="H19" s="355">
        <v>788</v>
      </c>
    </row>
    <row r="20" spans="3:8" x14ac:dyDescent="0.2">
      <c r="C20" s="354">
        <v>2014</v>
      </c>
      <c r="D20" s="355">
        <v>28</v>
      </c>
      <c r="E20" s="355">
        <v>586</v>
      </c>
      <c r="F20" s="355">
        <v>139</v>
      </c>
      <c r="G20" s="355">
        <v>760</v>
      </c>
      <c r="H20" s="355">
        <v>788</v>
      </c>
    </row>
    <row r="21" spans="3:8" x14ac:dyDescent="0.2">
      <c r="C21" s="354">
        <v>2015</v>
      </c>
      <c r="D21" s="355">
        <v>31</v>
      </c>
      <c r="E21" s="355">
        <v>539</v>
      </c>
      <c r="F21" s="355">
        <v>140</v>
      </c>
      <c r="G21" s="355">
        <v>708</v>
      </c>
      <c r="H21" s="355">
        <v>739</v>
      </c>
    </row>
    <row r="22" spans="3:8" x14ac:dyDescent="0.2">
      <c r="C22" s="354">
        <v>2016</v>
      </c>
      <c r="D22" s="355">
        <v>29</v>
      </c>
      <c r="E22" s="355">
        <v>536</v>
      </c>
      <c r="F22" s="355">
        <v>147</v>
      </c>
      <c r="G22" s="355">
        <v>711</v>
      </c>
      <c r="H22" s="355">
        <v>740</v>
      </c>
    </row>
    <row r="23" spans="3:8" x14ac:dyDescent="0.2">
      <c r="C23" s="354">
        <v>2017</v>
      </c>
      <c r="D23" s="355">
        <v>28</v>
      </c>
      <c r="E23" s="355">
        <v>521</v>
      </c>
      <c r="F23" s="355">
        <v>148</v>
      </c>
      <c r="G23" s="355">
        <v>696</v>
      </c>
      <c r="H23" s="355">
        <v>724</v>
      </c>
    </row>
    <row r="24" spans="3:8" x14ac:dyDescent="0.2">
      <c r="C24" s="354">
        <v>2018</v>
      </c>
      <c r="D24" s="355">
        <v>27</v>
      </c>
      <c r="E24" s="355">
        <v>525</v>
      </c>
      <c r="F24" s="355">
        <v>149</v>
      </c>
      <c r="G24" s="355">
        <v>703</v>
      </c>
      <c r="H24" s="355">
        <v>730</v>
      </c>
    </row>
    <row r="25" spans="3:8" x14ac:dyDescent="0.2">
      <c r="C25" s="354">
        <v>2019</v>
      </c>
      <c r="D25" s="355">
        <v>26</v>
      </c>
      <c r="E25" s="355">
        <v>490</v>
      </c>
      <c r="F25" s="355">
        <v>128</v>
      </c>
      <c r="G25" s="355">
        <v>646</v>
      </c>
      <c r="H25" s="355">
        <v>672</v>
      </c>
    </row>
    <row r="26" spans="3:8" x14ac:dyDescent="0.2">
      <c r="C26" s="356">
        <v>2020</v>
      </c>
      <c r="D26" s="357">
        <v>27</v>
      </c>
      <c r="E26" s="357">
        <v>486</v>
      </c>
      <c r="F26" s="357">
        <v>138</v>
      </c>
      <c r="G26" s="357">
        <v>652</v>
      </c>
      <c r="H26" s="357">
        <v>679</v>
      </c>
    </row>
    <row r="27" spans="3:8" x14ac:dyDescent="0.2">
      <c r="C27" s="134" t="s">
        <v>110</v>
      </c>
    </row>
    <row r="28" spans="3:8" x14ac:dyDescent="0.2">
      <c r="C28" s="17" t="s">
        <v>252</v>
      </c>
    </row>
  </sheetData>
  <mergeCells count="4">
    <mergeCell ref="C7:C8"/>
    <mergeCell ref="E7:G7"/>
    <mergeCell ref="H7:H8"/>
    <mergeCell ref="B5:AG5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857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276225</xdr:colOff>
                <xdr:row>2</xdr:row>
                <xdr:rowOff>152400</xdr:rowOff>
              </to>
            </anchor>
          </objectPr>
        </oleObject>
      </mc:Choice>
      <mc:Fallback>
        <oleObject progId="MSPhotoEd.3" shapeId="408577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4:BV102"/>
  <sheetViews>
    <sheetView view="pageBreakPreview" topLeftCell="A12" zoomScaleNormal="100" workbookViewId="0">
      <selection activeCell="AK32" sqref="AK32"/>
    </sheetView>
  </sheetViews>
  <sheetFormatPr defaultRowHeight="12.75" outlineLevelCol="1" x14ac:dyDescent="0.2"/>
  <cols>
    <col min="1" max="1" width="3" customWidth="1"/>
    <col min="2" max="2" width="7.5703125" customWidth="1"/>
    <col min="3" max="3" width="33.28515625" customWidth="1"/>
    <col min="4" max="4" width="10.5703125" hidden="1" customWidth="1" outlineLevel="1"/>
    <col min="5" max="12" width="8" hidden="1" customWidth="1" outlineLevel="1"/>
    <col min="13" max="14" width="8" hidden="1" customWidth="1"/>
    <col min="15" max="21" width="8.140625" hidden="1" customWidth="1"/>
    <col min="22" max="27" width="7.7109375" hidden="1" customWidth="1"/>
    <col min="28" max="31" width="12.7109375" hidden="1" customWidth="1"/>
    <col min="32" max="34" width="12.7109375" customWidth="1"/>
    <col min="35" max="35" width="9.5703125" customWidth="1"/>
    <col min="37" max="37" width="9" customWidth="1"/>
  </cols>
  <sheetData>
    <row r="4" spans="2:59" ht="15" x14ac:dyDescent="0.25">
      <c r="Y4" s="427" t="s">
        <v>186</v>
      </c>
      <c r="Z4" s="427"/>
      <c r="AA4" s="427"/>
      <c r="AB4" s="427"/>
      <c r="AC4" s="427"/>
      <c r="AD4" s="427"/>
      <c r="AE4" s="427"/>
      <c r="AF4" s="427"/>
      <c r="AG4" s="427"/>
      <c r="AH4" s="427"/>
      <c r="AI4" s="39"/>
    </row>
    <row r="5" spans="2:59" s="22" customFormat="1" ht="9" customHeight="1" x14ac:dyDescent="0.2"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2:59" x14ac:dyDescent="0.2">
      <c r="AY6" s="17"/>
      <c r="AZ6" s="17"/>
      <c r="BA6" s="17"/>
      <c r="BB6" s="17"/>
      <c r="BC6" s="17"/>
      <c r="BD6" s="17"/>
      <c r="BE6" s="17"/>
      <c r="BF6" s="17"/>
      <c r="BG6" s="17"/>
    </row>
    <row r="7" spans="2:59" x14ac:dyDescent="0.2">
      <c r="AL7" s="53"/>
      <c r="AY7" s="17"/>
      <c r="AZ7" s="17"/>
      <c r="BA7" s="17"/>
      <c r="BB7" s="17"/>
      <c r="BC7" s="17"/>
      <c r="BD7" s="17"/>
      <c r="BE7" s="17"/>
      <c r="BF7" s="17"/>
      <c r="BG7" s="17"/>
    </row>
    <row r="8" spans="2:59" ht="15.75" x14ac:dyDescent="0.25">
      <c r="B8" s="52">
        <v>12.1</v>
      </c>
      <c r="C8" s="444" t="s">
        <v>195</v>
      </c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119"/>
      <c r="AJ8" s="53"/>
      <c r="AK8" s="53"/>
      <c r="AL8" s="53"/>
    </row>
    <row r="9" spans="2:59" x14ac:dyDescent="0.2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</row>
    <row r="10" spans="2:59" x14ac:dyDescent="0.2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60"/>
      <c r="AI10" s="50"/>
      <c r="AJ10" s="53"/>
      <c r="AK10" s="53"/>
      <c r="AL10" s="53"/>
    </row>
    <row r="11" spans="2:59" x14ac:dyDescent="0.2">
      <c r="B11" s="53"/>
      <c r="C11" s="61"/>
      <c r="D11" s="61">
        <v>1981</v>
      </c>
      <c r="E11" s="61">
        <v>1982</v>
      </c>
      <c r="F11" s="61">
        <v>1983</v>
      </c>
      <c r="G11" s="61">
        <v>1984</v>
      </c>
      <c r="H11" s="61">
        <v>1985</v>
      </c>
      <c r="I11" s="61">
        <v>1986</v>
      </c>
      <c r="J11" s="61">
        <v>1987</v>
      </c>
      <c r="K11" s="61">
        <v>1988</v>
      </c>
      <c r="L11" s="61">
        <v>1989</v>
      </c>
      <c r="M11" s="61">
        <v>1990</v>
      </c>
      <c r="N11" s="61">
        <v>1991</v>
      </c>
      <c r="O11" s="61">
        <v>1992</v>
      </c>
      <c r="P11" s="61">
        <v>1993</v>
      </c>
      <c r="Q11" s="62">
        <v>1994</v>
      </c>
      <c r="R11" s="62">
        <v>1995</v>
      </c>
      <c r="S11" s="62">
        <v>1996</v>
      </c>
      <c r="T11" s="62">
        <v>1997</v>
      </c>
      <c r="U11" s="62">
        <v>1998</v>
      </c>
      <c r="V11" s="62">
        <v>1999</v>
      </c>
      <c r="W11" s="63">
        <v>2000</v>
      </c>
      <c r="X11" s="64">
        <v>2001</v>
      </c>
      <c r="Y11" s="64">
        <v>2002</v>
      </c>
      <c r="Z11" s="64">
        <v>2003</v>
      </c>
      <c r="AA11" s="64">
        <v>2004</v>
      </c>
      <c r="AB11" s="64">
        <v>2005</v>
      </c>
      <c r="AC11" s="64">
        <v>2006</v>
      </c>
      <c r="AD11" s="64">
        <v>2008</v>
      </c>
      <c r="AE11" s="64">
        <v>2009</v>
      </c>
      <c r="AF11" s="64">
        <v>2010</v>
      </c>
      <c r="AG11" s="64">
        <v>2011</v>
      </c>
      <c r="AH11" s="64">
        <v>2012</v>
      </c>
      <c r="AI11" s="64">
        <v>2013</v>
      </c>
      <c r="AJ11" s="64">
        <v>2014</v>
      </c>
      <c r="AK11" s="64">
        <v>2015</v>
      </c>
      <c r="AL11" s="64">
        <v>2016</v>
      </c>
    </row>
    <row r="12" spans="2:59" x14ac:dyDescent="0.2">
      <c r="B12" s="53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  <c r="R12" s="101"/>
      <c r="S12" s="101"/>
      <c r="T12" s="101"/>
      <c r="U12" s="101"/>
      <c r="V12" s="101"/>
      <c r="W12" s="96"/>
      <c r="X12" s="67"/>
      <c r="Y12" s="67"/>
      <c r="Z12" s="67"/>
      <c r="AA12" s="67"/>
      <c r="AB12" s="67"/>
      <c r="AC12" s="67"/>
      <c r="AD12" s="67"/>
      <c r="AE12" s="67"/>
      <c r="AF12" s="67"/>
      <c r="AG12" s="53"/>
      <c r="AH12" s="67"/>
      <c r="AI12" s="67"/>
      <c r="AJ12" s="67"/>
      <c r="AK12" s="67"/>
      <c r="AL12" s="67"/>
    </row>
    <row r="13" spans="2:59" ht="15" x14ac:dyDescent="0.25">
      <c r="B13" s="53"/>
      <c r="C13" s="102" t="s">
        <v>89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Q13">
        <v>4932.3999999999996</v>
      </c>
    </row>
    <row r="14" spans="2:59" ht="15" x14ac:dyDescent="0.25">
      <c r="B14" s="53"/>
      <c r="C14" s="103" t="s">
        <v>123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Q14">
        <v>2281.6999999999998</v>
      </c>
    </row>
    <row r="15" spans="2:59" x14ac:dyDescent="0.2">
      <c r="B15" s="53"/>
      <c r="C15" s="104" t="s">
        <v>43</v>
      </c>
      <c r="D15" s="54">
        <v>21</v>
      </c>
      <c r="E15" s="54">
        <v>22</v>
      </c>
      <c r="F15" s="54">
        <v>22</v>
      </c>
      <c r="G15" s="54">
        <v>28</v>
      </c>
      <c r="H15" s="54">
        <v>28</v>
      </c>
      <c r="I15" s="54">
        <v>28</v>
      </c>
      <c r="J15" s="54">
        <v>28</v>
      </c>
      <c r="K15" s="54">
        <v>29</v>
      </c>
      <c r="L15" s="54">
        <v>30</v>
      </c>
      <c r="M15" s="54">
        <v>30</v>
      </c>
      <c r="N15" s="54">
        <v>30</v>
      </c>
      <c r="O15" s="54">
        <v>30</v>
      </c>
      <c r="P15" s="54">
        <v>28</v>
      </c>
      <c r="Q15" s="54">
        <v>27</v>
      </c>
      <c r="R15" s="54">
        <v>29</v>
      </c>
      <c r="S15" s="54">
        <v>30</v>
      </c>
      <c r="T15" s="54">
        <v>29</v>
      </c>
      <c r="U15" s="54">
        <v>31</v>
      </c>
      <c r="V15" s="54">
        <v>32</v>
      </c>
      <c r="W15" s="54">
        <v>30</v>
      </c>
      <c r="X15" s="54">
        <v>28</v>
      </c>
      <c r="Y15" s="54">
        <v>27</v>
      </c>
      <c r="Z15" s="77">
        <v>27</v>
      </c>
      <c r="AA15" s="77">
        <v>27</v>
      </c>
      <c r="AB15" s="77">
        <v>26</v>
      </c>
      <c r="AC15" s="77">
        <v>27</v>
      </c>
      <c r="AD15" s="77">
        <v>28</v>
      </c>
      <c r="AE15" s="77">
        <v>27</v>
      </c>
      <c r="AF15" s="77">
        <v>30</v>
      </c>
      <c r="AG15" s="77">
        <v>27</v>
      </c>
      <c r="AH15" s="77">
        <v>27</v>
      </c>
      <c r="AI15" s="77">
        <v>27</v>
      </c>
      <c r="AJ15" s="77">
        <v>28</v>
      </c>
      <c r="AK15" s="77">
        <v>31</v>
      </c>
      <c r="AL15" s="77"/>
      <c r="AQ15">
        <v>100.2</v>
      </c>
    </row>
    <row r="16" spans="2:59" x14ac:dyDescent="0.2">
      <c r="B16" s="53"/>
      <c r="C16" s="10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77"/>
      <c r="AA16" s="77"/>
      <c r="AB16" s="77"/>
      <c r="AC16" s="77"/>
      <c r="AD16" s="77"/>
      <c r="AE16" s="77"/>
      <c r="AF16" s="77"/>
      <c r="AG16" s="53"/>
      <c r="AH16" s="77"/>
      <c r="AI16" s="77"/>
      <c r="AJ16" s="77"/>
      <c r="AK16" s="77"/>
      <c r="AL16" s="77"/>
      <c r="AQ16">
        <v>2181.5</v>
      </c>
    </row>
    <row r="17" spans="2:43" ht="15" x14ac:dyDescent="0.25">
      <c r="B17" s="53"/>
      <c r="C17" s="103" t="s">
        <v>125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105"/>
      <c r="V17" s="105"/>
      <c r="W17" s="105"/>
      <c r="X17" s="105"/>
      <c r="Y17" s="105"/>
      <c r="Z17" s="105"/>
      <c r="AA17" s="105"/>
      <c r="AB17" s="105"/>
      <c r="AC17" s="105"/>
      <c r="AD17" s="53"/>
      <c r="AE17" s="53"/>
      <c r="AF17" s="53"/>
      <c r="AG17" s="53"/>
      <c r="AH17" s="53"/>
      <c r="AI17" s="53"/>
      <c r="AJ17" s="53"/>
      <c r="AK17" s="53"/>
      <c r="AL17" s="53"/>
      <c r="AQ17">
        <v>2650.7</v>
      </c>
    </row>
    <row r="18" spans="2:43" hidden="1" x14ac:dyDescent="0.2">
      <c r="B18" s="53"/>
      <c r="C18" s="104" t="s">
        <v>42</v>
      </c>
      <c r="D18" s="54">
        <v>9</v>
      </c>
      <c r="E18" s="54">
        <v>4</v>
      </c>
      <c r="F18" s="54">
        <v>10</v>
      </c>
      <c r="G18" s="54">
        <v>13</v>
      </c>
      <c r="H18" s="54">
        <v>12</v>
      </c>
      <c r="I18" s="54">
        <v>12</v>
      </c>
      <c r="J18" s="54">
        <v>20</v>
      </c>
      <c r="K18" s="54">
        <v>26</v>
      </c>
      <c r="L18" s="54">
        <v>11</v>
      </c>
      <c r="M18" s="54">
        <v>6</v>
      </c>
      <c r="N18" s="54">
        <v>13</v>
      </c>
      <c r="O18" s="54">
        <v>20</v>
      </c>
      <c r="P18" s="54">
        <v>14</v>
      </c>
      <c r="Q18" s="54">
        <v>23</v>
      </c>
      <c r="R18" s="54">
        <v>21</v>
      </c>
      <c r="S18" s="54">
        <v>32</v>
      </c>
      <c r="T18" s="54">
        <v>22</v>
      </c>
      <c r="U18" s="54">
        <v>8</v>
      </c>
      <c r="V18" s="54">
        <v>9</v>
      </c>
      <c r="W18" s="54">
        <v>14</v>
      </c>
      <c r="X18" s="54">
        <v>12</v>
      </c>
      <c r="Y18" s="54">
        <v>0</v>
      </c>
      <c r="Z18" s="77">
        <v>0</v>
      </c>
      <c r="AA18" s="77">
        <v>0</v>
      </c>
      <c r="AB18" s="77">
        <v>0</v>
      </c>
      <c r="AC18" s="77">
        <v>0</v>
      </c>
      <c r="AD18" s="53"/>
      <c r="AE18" s="53"/>
      <c r="AF18" s="53"/>
      <c r="AG18" s="53"/>
      <c r="AH18" s="53"/>
      <c r="AI18" s="53"/>
      <c r="AJ18" s="53"/>
      <c r="AK18" s="53"/>
      <c r="AL18" s="53"/>
      <c r="AQ18">
        <v>2971.2</v>
      </c>
    </row>
    <row r="19" spans="2:43" x14ac:dyDescent="0.2">
      <c r="B19" s="53"/>
      <c r="C19" s="104" t="s">
        <v>43</v>
      </c>
      <c r="D19" s="54">
        <v>72</v>
      </c>
      <c r="E19" s="54">
        <v>74</v>
      </c>
      <c r="F19" s="54">
        <v>77</v>
      </c>
      <c r="G19" s="54">
        <v>86</v>
      </c>
      <c r="H19" s="54">
        <v>91</v>
      </c>
      <c r="I19" s="54">
        <v>90</v>
      </c>
      <c r="J19" s="54">
        <v>92</v>
      </c>
      <c r="K19" s="54">
        <v>106</v>
      </c>
      <c r="L19" s="54">
        <v>109</v>
      </c>
      <c r="M19" s="54">
        <v>105</v>
      </c>
      <c r="N19" s="54">
        <v>106</v>
      </c>
      <c r="O19" s="54">
        <v>118</v>
      </c>
      <c r="P19" s="54">
        <v>131</v>
      </c>
      <c r="Q19" s="54">
        <v>134</v>
      </c>
      <c r="R19" s="54">
        <v>133</v>
      </c>
      <c r="S19" s="54">
        <v>132</v>
      </c>
      <c r="T19" s="54">
        <v>138</v>
      </c>
      <c r="U19" s="54">
        <v>136</v>
      </c>
      <c r="V19" s="54">
        <v>140</v>
      </c>
      <c r="W19" s="54">
        <v>121</v>
      </c>
      <c r="X19" s="54">
        <f t="shared" ref="X19:AC19" si="0">+X82</f>
        <v>121</v>
      </c>
      <c r="Y19" s="54">
        <f t="shared" si="0"/>
        <v>115</v>
      </c>
      <c r="Z19" s="54">
        <f t="shared" si="0"/>
        <v>115</v>
      </c>
      <c r="AA19" s="54">
        <f t="shared" si="0"/>
        <v>117</v>
      </c>
      <c r="AB19" s="54">
        <f t="shared" si="0"/>
        <v>112</v>
      </c>
      <c r="AC19" s="54">
        <f t="shared" si="0"/>
        <v>140</v>
      </c>
      <c r="AD19" s="77">
        <v>146</v>
      </c>
      <c r="AE19" s="77">
        <f>96+32+26</f>
        <v>154</v>
      </c>
      <c r="AF19" s="77">
        <v>175</v>
      </c>
      <c r="AG19" s="53">
        <v>128</v>
      </c>
      <c r="AH19" s="77">
        <v>128</v>
      </c>
      <c r="AI19" s="77">
        <v>133</v>
      </c>
      <c r="AJ19" s="77">
        <v>131</v>
      </c>
      <c r="AK19" s="77"/>
      <c r="AL19" s="77"/>
      <c r="AQ19">
        <v>243.6</v>
      </c>
    </row>
    <row r="20" spans="2:43" x14ac:dyDescent="0.2">
      <c r="B20" s="53"/>
      <c r="C20" s="10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77"/>
      <c r="AE20" s="77"/>
      <c r="AF20" s="77"/>
      <c r="AG20" s="53"/>
      <c r="AH20" s="77"/>
      <c r="AI20" s="77"/>
      <c r="AJ20" s="77"/>
      <c r="AK20" s="77"/>
      <c r="AL20" s="77"/>
      <c r="AQ20">
        <v>70.099999999999994</v>
      </c>
    </row>
    <row r="21" spans="2:43" ht="15" x14ac:dyDescent="0.25">
      <c r="B21" s="53"/>
      <c r="C21" s="103" t="s">
        <v>108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/>
      <c r="U21" s="54"/>
      <c r="V21" s="53"/>
      <c r="W21" s="54"/>
      <c r="X21" s="53"/>
      <c r="Y21" s="53"/>
      <c r="Z21" s="106"/>
      <c r="AA21" s="106"/>
      <c r="AB21" s="106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Q21">
        <v>2657.5</v>
      </c>
    </row>
    <row r="22" spans="2:43" ht="15" x14ac:dyDescent="0.25">
      <c r="B22" s="53"/>
      <c r="C22" s="103" t="s">
        <v>168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4"/>
      <c r="U22" s="107"/>
      <c r="V22" s="108"/>
      <c r="W22" s="109"/>
      <c r="X22" s="109"/>
      <c r="Y22" s="109"/>
      <c r="Z22" s="109"/>
      <c r="AA22" s="109"/>
      <c r="AB22" s="109"/>
      <c r="AC22" s="109"/>
      <c r="AD22" s="53"/>
      <c r="AE22" s="53"/>
      <c r="AF22" s="53"/>
      <c r="AG22" s="53"/>
      <c r="AH22" s="53"/>
      <c r="AI22" s="53"/>
      <c r="AJ22" s="53"/>
      <c r="AK22" s="53"/>
      <c r="AL22" s="53"/>
      <c r="AQ22">
        <v>-320.5</v>
      </c>
    </row>
    <row r="23" spans="2:43" x14ac:dyDescent="0.2">
      <c r="B23" s="53"/>
      <c r="C23" s="104" t="s">
        <v>75</v>
      </c>
      <c r="D23" s="68"/>
      <c r="E23" s="68"/>
      <c r="F23" s="68">
        <v>3.1</v>
      </c>
      <c r="G23" s="68">
        <v>3.8</v>
      </c>
      <c r="H23" s="68">
        <v>6</v>
      </c>
      <c r="I23" s="68">
        <v>6.6</v>
      </c>
      <c r="J23" s="68">
        <v>6.8</v>
      </c>
      <c r="K23" s="68">
        <v>8.3000000000000007</v>
      </c>
      <c r="L23" s="68">
        <v>8.9</v>
      </c>
      <c r="M23" s="68">
        <v>9.1</v>
      </c>
      <c r="N23" s="68">
        <v>9.3000000000000007</v>
      </c>
      <c r="O23" s="68">
        <v>8.3000000000000007</v>
      </c>
      <c r="P23" s="110">
        <v>10.4</v>
      </c>
      <c r="Q23" s="68">
        <v>14.2</v>
      </c>
      <c r="R23" s="111">
        <v>15.5</v>
      </c>
      <c r="S23" s="111">
        <v>15.7</v>
      </c>
      <c r="T23" s="68">
        <v>21.3</v>
      </c>
      <c r="U23" s="68">
        <f>SUM(U94:U95,U92)</f>
        <v>31.884802999999998</v>
      </c>
      <c r="V23" s="68">
        <f t="shared" ref="V23:AC23" si="1">SUM(V94:V95,V92)</f>
        <v>32.988280000000003</v>
      </c>
      <c r="W23" s="68">
        <f t="shared" si="1"/>
        <v>50.252262000000002</v>
      </c>
      <c r="X23" s="111">
        <f t="shared" si="1"/>
        <v>49.357517000000001</v>
      </c>
      <c r="Y23" s="111">
        <f t="shared" si="1"/>
        <v>62.442419000000001</v>
      </c>
      <c r="Z23" s="112">
        <f t="shared" si="1"/>
        <v>60.906117999999999</v>
      </c>
      <c r="AA23" s="112">
        <f t="shared" si="1"/>
        <v>70.392916999999997</v>
      </c>
      <c r="AB23" s="112">
        <f t="shared" si="1"/>
        <v>95.826057000000006</v>
      </c>
      <c r="AC23" s="112">
        <f t="shared" si="1"/>
        <v>114.741614</v>
      </c>
      <c r="AD23" s="112">
        <v>148.80000000000001</v>
      </c>
      <c r="AE23" s="112">
        <v>145.30000000000001</v>
      </c>
      <c r="AF23" s="112">
        <v>163.69999999999999</v>
      </c>
      <c r="AG23" s="69">
        <v>184.4</v>
      </c>
      <c r="AH23" s="69">
        <v>190.7</v>
      </c>
      <c r="AI23" s="69">
        <f>18.6+8.8+149.5</f>
        <v>176.9</v>
      </c>
      <c r="AJ23" s="69">
        <v>217.4</v>
      </c>
      <c r="AK23" s="69"/>
      <c r="AL23" s="69"/>
    </row>
    <row r="24" spans="2:43" x14ac:dyDescent="0.2">
      <c r="B24" s="53"/>
      <c r="C24" s="104" t="s">
        <v>52</v>
      </c>
      <c r="D24" s="68"/>
      <c r="E24" s="68"/>
      <c r="F24" s="68">
        <v>2.8</v>
      </c>
      <c r="G24" s="68">
        <v>2.9</v>
      </c>
      <c r="H24" s="68">
        <v>3</v>
      </c>
      <c r="I24" s="68">
        <v>2.8</v>
      </c>
      <c r="J24" s="68">
        <v>3.6</v>
      </c>
      <c r="K24" s="68">
        <v>4</v>
      </c>
      <c r="L24" s="68">
        <v>4.4000000000000004</v>
      </c>
      <c r="M24" s="68">
        <v>4.5999999999999996</v>
      </c>
      <c r="N24" s="68">
        <v>4.4000000000000004</v>
      </c>
      <c r="O24" s="68">
        <v>4.9000000000000004</v>
      </c>
      <c r="P24" s="68">
        <v>5.4</v>
      </c>
      <c r="Q24" s="68">
        <v>5.9</v>
      </c>
      <c r="R24" s="111">
        <v>6.3</v>
      </c>
      <c r="S24" s="111">
        <v>6.7</v>
      </c>
      <c r="T24" s="68">
        <v>9.1999999999999993</v>
      </c>
      <c r="U24" s="68">
        <f>U87</f>
        <v>9.8000290000000003</v>
      </c>
      <c r="V24" s="68">
        <f t="shared" ref="V24:AC24" si="2">V87</f>
        <v>9.9968690000000002</v>
      </c>
      <c r="W24" s="68">
        <f t="shared" si="2"/>
        <v>10.786045</v>
      </c>
      <c r="X24" s="68">
        <f t="shared" si="2"/>
        <v>12.067042000000001</v>
      </c>
      <c r="Y24" s="68">
        <f t="shared" si="2"/>
        <v>12.422836</v>
      </c>
      <c r="Z24" s="68">
        <f t="shared" si="2"/>
        <v>13.570627999999999</v>
      </c>
      <c r="AA24" s="68">
        <f t="shared" si="2"/>
        <v>11.730959</v>
      </c>
      <c r="AB24" s="68">
        <f t="shared" si="2"/>
        <v>19.103974000000001</v>
      </c>
      <c r="AC24" s="68">
        <f t="shared" si="2"/>
        <v>25.030587000000001</v>
      </c>
      <c r="AD24" s="68">
        <v>26.7</v>
      </c>
      <c r="AE24" s="68">
        <v>25.6</v>
      </c>
      <c r="AF24" s="113">
        <v>24</v>
      </c>
      <c r="AG24" s="69">
        <v>23.7</v>
      </c>
      <c r="AH24" s="69">
        <v>23.8</v>
      </c>
      <c r="AI24" s="69">
        <v>14.9</v>
      </c>
      <c r="AJ24" s="69">
        <v>22.7</v>
      </c>
      <c r="AK24" s="69"/>
      <c r="AL24" s="69"/>
      <c r="AQ24">
        <v>4932.3999999999996</v>
      </c>
    </row>
    <row r="25" spans="2:43" x14ac:dyDescent="0.2">
      <c r="B25" s="53"/>
      <c r="C25" s="104" t="s">
        <v>53</v>
      </c>
      <c r="D25" s="68"/>
      <c r="E25" s="68"/>
      <c r="F25" s="68">
        <v>2.9</v>
      </c>
      <c r="G25" s="68">
        <v>3.8</v>
      </c>
      <c r="H25" s="68">
        <v>4.2</v>
      </c>
      <c r="I25" s="68">
        <v>5.5</v>
      </c>
      <c r="J25" s="68">
        <v>5.5</v>
      </c>
      <c r="K25" s="68">
        <v>6.9</v>
      </c>
      <c r="L25" s="68">
        <v>7.1</v>
      </c>
      <c r="M25" s="68">
        <v>7.5</v>
      </c>
      <c r="N25" s="68">
        <v>7.9</v>
      </c>
      <c r="O25" s="68">
        <v>13.5</v>
      </c>
      <c r="P25" s="68">
        <v>20.6</v>
      </c>
      <c r="Q25" s="68">
        <v>20.399999999999999</v>
      </c>
      <c r="R25" s="111">
        <v>19.2</v>
      </c>
      <c r="S25" s="111">
        <v>12.8</v>
      </c>
      <c r="T25" s="68">
        <v>21.5</v>
      </c>
      <c r="U25" s="68">
        <f>SUM(U86,U88,U91,U93,U96)</f>
        <v>25.754124000000001</v>
      </c>
      <c r="V25" s="68">
        <f t="shared" ref="V25:AC25" si="3">SUM(V86,V88,V91,V93,V96)</f>
        <v>29.800332999999995</v>
      </c>
      <c r="W25" s="68">
        <f t="shared" si="3"/>
        <v>42.139158000000002</v>
      </c>
      <c r="X25" s="68">
        <f t="shared" si="3"/>
        <v>51.383851999999997</v>
      </c>
      <c r="Y25" s="68">
        <f t="shared" si="3"/>
        <v>65.184924999999993</v>
      </c>
      <c r="Z25" s="68">
        <f t="shared" si="3"/>
        <v>63.604448999999995</v>
      </c>
      <c r="AA25" s="68">
        <f t="shared" si="3"/>
        <v>65.695994999999996</v>
      </c>
      <c r="AB25" s="68">
        <f t="shared" si="3"/>
        <v>104.62401799999999</v>
      </c>
      <c r="AC25" s="68">
        <f t="shared" si="3"/>
        <v>135.35360599999998</v>
      </c>
      <c r="AD25" s="68">
        <v>146.69999999999999</v>
      </c>
      <c r="AE25" s="68">
        <v>143.30000000000001</v>
      </c>
      <c r="AF25" s="113">
        <v>151.19999999999999</v>
      </c>
      <c r="AG25" s="69">
        <v>171.6</v>
      </c>
      <c r="AH25" s="69">
        <v>169.2</v>
      </c>
      <c r="AI25" s="69">
        <f>31.8+23.9+66.4</f>
        <v>122.10000000000001</v>
      </c>
      <c r="AJ25" s="69">
        <v>214.7</v>
      </c>
      <c r="AK25" s="69"/>
      <c r="AL25" s="69"/>
      <c r="AQ25">
        <v>1209.0999999999999</v>
      </c>
    </row>
    <row r="26" spans="2:43" x14ac:dyDescent="0.2">
      <c r="B26" s="53"/>
      <c r="C26" s="97" t="s">
        <v>90</v>
      </c>
      <c r="D26" s="114">
        <f t="shared" ref="D26:K26" si="4">SUM(D23:D25)</f>
        <v>0</v>
      </c>
      <c r="E26" s="114">
        <f t="shared" si="4"/>
        <v>0</v>
      </c>
      <c r="F26" s="114">
        <f t="shared" si="4"/>
        <v>8.8000000000000007</v>
      </c>
      <c r="G26" s="114">
        <f t="shared" si="4"/>
        <v>10.5</v>
      </c>
      <c r="H26" s="114">
        <f t="shared" ref="H26:N26" si="5">SUM(H23:H25)</f>
        <v>13.2</v>
      </c>
      <c r="I26" s="114">
        <f t="shared" si="4"/>
        <v>14.899999999999999</v>
      </c>
      <c r="J26" s="114">
        <f t="shared" si="4"/>
        <v>15.9</v>
      </c>
      <c r="K26" s="114">
        <f t="shared" si="4"/>
        <v>19.200000000000003</v>
      </c>
      <c r="L26" s="114">
        <f t="shared" si="5"/>
        <v>20.399999999999999</v>
      </c>
      <c r="M26" s="114">
        <f t="shared" si="5"/>
        <v>21.2</v>
      </c>
      <c r="N26" s="114">
        <f t="shared" si="5"/>
        <v>21.6</v>
      </c>
      <c r="O26" s="114">
        <f>SUM(O23:O25)</f>
        <v>26.700000000000003</v>
      </c>
      <c r="P26" s="115">
        <v>36.4</v>
      </c>
      <c r="Q26" s="114">
        <f>SUM(Q23:Q25)</f>
        <v>40.5</v>
      </c>
      <c r="R26" s="114">
        <v>41</v>
      </c>
      <c r="S26" s="114">
        <v>35.200000000000003</v>
      </c>
      <c r="T26" s="114">
        <v>52</v>
      </c>
      <c r="U26" s="114">
        <f>SUM(U23:U25)</f>
        <v>67.438956000000005</v>
      </c>
      <c r="V26" s="114">
        <f t="shared" ref="V26:AC26" si="6">SUM(V23:V25)</f>
        <v>72.785482000000002</v>
      </c>
      <c r="W26" s="114">
        <f t="shared" si="6"/>
        <v>103.17746500000001</v>
      </c>
      <c r="X26" s="114">
        <f t="shared" si="6"/>
        <v>112.80841100000001</v>
      </c>
      <c r="Y26" s="114">
        <f t="shared" si="6"/>
        <v>140.05018000000001</v>
      </c>
      <c r="Z26" s="114">
        <f t="shared" si="6"/>
        <v>138.08119499999998</v>
      </c>
      <c r="AA26" s="114">
        <f t="shared" si="6"/>
        <v>147.81987099999998</v>
      </c>
      <c r="AB26" s="114">
        <f t="shared" si="6"/>
        <v>219.55404900000002</v>
      </c>
      <c r="AC26" s="114">
        <f t="shared" si="6"/>
        <v>275.12580700000001</v>
      </c>
      <c r="AD26" s="114">
        <f>SUM(AD23:AD25)</f>
        <v>322.2</v>
      </c>
      <c r="AE26" s="114">
        <f>SUM(AE23:AE25)</f>
        <v>314.20000000000005</v>
      </c>
      <c r="AF26" s="114">
        <f>SUM(AF23:AF25)</f>
        <v>338.9</v>
      </c>
      <c r="AG26" s="114">
        <f>SUM(AG23:AG25)</f>
        <v>379.7</v>
      </c>
      <c r="AH26" s="120">
        <v>383.7</v>
      </c>
      <c r="AI26" s="120">
        <v>314.10000000000002</v>
      </c>
      <c r="AJ26" s="120">
        <v>454.8</v>
      </c>
      <c r="AK26" s="120"/>
      <c r="AL26" s="120"/>
      <c r="AQ26">
        <v>95.5</v>
      </c>
    </row>
    <row r="27" spans="2:43" x14ac:dyDescent="0.2">
      <c r="B27" s="53"/>
      <c r="C27" s="53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54"/>
      <c r="U27" s="68"/>
      <c r="V27" s="68"/>
      <c r="W27" s="68"/>
      <c r="X27" s="68"/>
      <c r="Y27" s="68"/>
      <c r="Z27" s="68"/>
      <c r="AA27" s="68"/>
      <c r="AB27" s="68"/>
      <c r="AC27" s="68"/>
      <c r="AD27" s="53"/>
      <c r="AE27" s="53"/>
      <c r="AF27" s="53"/>
      <c r="AG27" s="53"/>
      <c r="AH27" s="53"/>
      <c r="AI27" s="53"/>
      <c r="AJ27" s="53"/>
      <c r="AK27" s="53"/>
      <c r="AL27" s="53"/>
      <c r="AQ27">
        <v>1113.5999999999999</v>
      </c>
    </row>
    <row r="28" spans="2:43" hidden="1" x14ac:dyDescent="0.2">
      <c r="B28" s="53"/>
      <c r="C28" s="53" t="s">
        <v>45</v>
      </c>
      <c r="D28" s="68">
        <v>17.7</v>
      </c>
      <c r="E28" s="68"/>
      <c r="F28" s="68"/>
      <c r="G28" s="68"/>
      <c r="H28" s="68">
        <v>17.7</v>
      </c>
      <c r="I28" s="68">
        <v>21.4</v>
      </c>
      <c r="J28" s="68">
        <v>23</v>
      </c>
      <c r="K28" s="68">
        <v>26.5</v>
      </c>
      <c r="L28" s="68">
        <v>29.9</v>
      </c>
      <c r="M28" s="68">
        <v>30.1</v>
      </c>
      <c r="N28" s="68">
        <v>30.2</v>
      </c>
      <c r="O28" s="68">
        <v>30.3</v>
      </c>
      <c r="P28" s="68">
        <v>31</v>
      </c>
      <c r="Q28" s="68">
        <v>37</v>
      </c>
      <c r="R28" s="111" t="s">
        <v>44</v>
      </c>
      <c r="S28" s="111">
        <v>24.4</v>
      </c>
      <c r="T28" s="68">
        <v>44.1</v>
      </c>
      <c r="U28" s="69"/>
      <c r="V28" s="69"/>
      <c r="W28" s="69"/>
      <c r="X28" s="69"/>
      <c r="Y28" s="69"/>
      <c r="Z28" s="69"/>
      <c r="AA28" s="69"/>
      <c r="AB28" s="69"/>
      <c r="AC28" s="69"/>
      <c r="AD28" s="53"/>
      <c r="AE28" s="53"/>
      <c r="AF28" s="53"/>
      <c r="AG28" s="53"/>
      <c r="AH28" s="53"/>
      <c r="AI28" s="53"/>
      <c r="AJ28" s="53"/>
      <c r="AK28" s="53"/>
      <c r="AL28" s="53"/>
      <c r="AQ28">
        <v>460.6</v>
      </c>
    </row>
    <row r="29" spans="2:43" hidden="1" x14ac:dyDescent="0.2"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4"/>
      <c r="U29" s="54"/>
      <c r="V29" s="53"/>
      <c r="W29" s="54"/>
      <c r="X29" s="53"/>
      <c r="Y29" s="53"/>
      <c r="Z29" s="74"/>
      <c r="AA29" s="74"/>
      <c r="AB29" s="74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Q29">
        <v>653</v>
      </c>
    </row>
    <row r="30" spans="2:43" ht="15" x14ac:dyDescent="0.25">
      <c r="B30" s="53"/>
      <c r="C30" s="116" t="s">
        <v>129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3"/>
      <c r="W30" s="54"/>
      <c r="X30" s="53"/>
      <c r="Y30" s="53"/>
      <c r="Z30" s="74"/>
      <c r="AA30" s="74"/>
      <c r="AB30" s="74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Q30">
        <v>3723.3</v>
      </c>
    </row>
    <row r="31" spans="2:43" x14ac:dyDescent="0.2">
      <c r="B31" s="53"/>
      <c r="C31" s="104" t="s">
        <v>42</v>
      </c>
      <c r="D31" s="54">
        <v>25</v>
      </c>
      <c r="E31" s="54">
        <v>69</v>
      </c>
      <c r="F31" s="54">
        <v>46</v>
      </c>
      <c r="G31" s="54">
        <v>23</v>
      </c>
      <c r="H31" s="54">
        <v>50</v>
      </c>
      <c r="I31" s="54">
        <v>65</v>
      </c>
      <c r="J31" s="54">
        <v>56</v>
      </c>
      <c r="K31" s="54">
        <v>29</v>
      </c>
      <c r="L31" s="54">
        <v>28</v>
      </c>
      <c r="M31" s="54">
        <v>20</v>
      </c>
      <c r="N31" s="54">
        <v>31</v>
      </c>
      <c r="O31" s="54">
        <v>24</v>
      </c>
      <c r="P31" s="54">
        <v>38</v>
      </c>
      <c r="Q31" s="54">
        <v>45</v>
      </c>
      <c r="R31" s="54">
        <v>49</v>
      </c>
      <c r="S31" s="54">
        <v>41</v>
      </c>
      <c r="T31" s="54">
        <v>50</v>
      </c>
      <c r="U31" s="54">
        <v>52</v>
      </c>
      <c r="V31" s="54">
        <v>37</v>
      </c>
      <c r="W31" s="54">
        <v>45</v>
      </c>
      <c r="X31" s="54">
        <v>47</v>
      </c>
      <c r="Y31" s="54">
        <v>97</v>
      </c>
      <c r="Z31" s="77">
        <v>83</v>
      </c>
      <c r="AA31" s="77">
        <v>75</v>
      </c>
      <c r="AB31" s="77">
        <v>59</v>
      </c>
      <c r="AC31" s="77">
        <v>56</v>
      </c>
      <c r="AD31" s="77">
        <v>32</v>
      </c>
      <c r="AE31" s="77">
        <v>40</v>
      </c>
      <c r="AF31" s="77">
        <v>25</v>
      </c>
      <c r="AG31" s="77">
        <v>38</v>
      </c>
      <c r="AH31" s="77">
        <v>53</v>
      </c>
      <c r="AI31" s="77">
        <v>40</v>
      </c>
      <c r="AJ31" s="77">
        <v>21</v>
      </c>
      <c r="AK31" s="77"/>
      <c r="AL31" s="77"/>
      <c r="AQ31">
        <v>3382</v>
      </c>
    </row>
    <row r="32" spans="2:43" x14ac:dyDescent="0.2">
      <c r="B32" s="53"/>
      <c r="C32" s="104" t="s">
        <v>43</v>
      </c>
      <c r="D32" s="54">
        <v>183</v>
      </c>
      <c r="E32" s="54">
        <v>252</v>
      </c>
      <c r="F32" s="54">
        <v>274</v>
      </c>
      <c r="G32" s="54">
        <v>271</v>
      </c>
      <c r="H32" s="54">
        <v>296</v>
      </c>
      <c r="I32" s="54">
        <v>341</v>
      </c>
      <c r="J32" s="54">
        <v>358</v>
      </c>
      <c r="K32" s="54">
        <v>362</v>
      </c>
      <c r="L32" s="54">
        <v>360</v>
      </c>
      <c r="M32" s="54">
        <v>360</v>
      </c>
      <c r="N32" s="54">
        <v>367</v>
      </c>
      <c r="O32" s="54">
        <v>372</v>
      </c>
      <c r="P32" s="54">
        <v>352</v>
      </c>
      <c r="Q32" s="54">
        <v>361</v>
      </c>
      <c r="R32" s="54">
        <v>390</v>
      </c>
      <c r="S32" s="54">
        <v>418</v>
      </c>
      <c r="T32" s="54">
        <v>449</v>
      </c>
      <c r="U32" s="54">
        <v>485</v>
      </c>
      <c r="V32" s="54">
        <v>497</v>
      </c>
      <c r="W32" s="54">
        <v>516</v>
      </c>
      <c r="X32" s="54">
        <v>543</v>
      </c>
      <c r="Y32" s="54">
        <v>600</v>
      </c>
      <c r="Z32" s="77">
        <v>644</v>
      </c>
      <c r="AA32" s="77">
        <v>693</v>
      </c>
      <c r="AB32" s="77">
        <v>733</v>
      </c>
      <c r="AC32" s="77">
        <v>740</v>
      </c>
      <c r="AD32" s="77">
        <v>777</v>
      </c>
      <c r="AE32" s="77">
        <v>780</v>
      </c>
      <c r="AF32" s="77">
        <v>738</v>
      </c>
      <c r="AG32" s="77">
        <v>739</v>
      </c>
      <c r="AH32" s="77">
        <v>741</v>
      </c>
      <c r="AI32" s="77">
        <v>761</v>
      </c>
      <c r="AJ32" s="77">
        <v>760</v>
      </c>
      <c r="AK32" s="77"/>
      <c r="AL32" s="77"/>
    </row>
    <row r="33" spans="2:38" x14ac:dyDescent="0.2">
      <c r="B33" s="53"/>
      <c r="C33" s="66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3"/>
      <c r="W33" s="54"/>
      <c r="X33" s="53"/>
      <c r="Y33" s="53"/>
      <c r="Z33" s="74"/>
      <c r="AA33" s="74"/>
      <c r="AB33" s="74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2:38" ht="15.75" x14ac:dyDescent="0.25">
      <c r="B34" s="53"/>
      <c r="C34" s="118" t="s">
        <v>154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3"/>
      <c r="W34" s="54"/>
      <c r="X34" s="53"/>
      <c r="Y34" s="53"/>
      <c r="Z34" s="74"/>
      <c r="AA34" s="74"/>
      <c r="AB34" s="74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2:38" x14ac:dyDescent="0.2">
      <c r="B35" s="53"/>
      <c r="C35" s="71" t="s">
        <v>131</v>
      </c>
      <c r="D35" s="54"/>
      <c r="E35" s="54"/>
      <c r="F35" s="54">
        <v>758</v>
      </c>
      <c r="G35" s="54">
        <v>1173</v>
      </c>
      <c r="H35" s="54">
        <v>1261</v>
      </c>
      <c r="I35" s="54">
        <v>1579</v>
      </c>
      <c r="J35" s="54">
        <v>1603</v>
      </c>
      <c r="K35" s="54">
        <v>1613</v>
      </c>
      <c r="L35" s="54">
        <v>1229</v>
      </c>
      <c r="M35" s="54">
        <v>1255</v>
      </c>
      <c r="N35" s="54">
        <v>1525</v>
      </c>
      <c r="O35" s="54">
        <v>1300</v>
      </c>
      <c r="P35" s="54">
        <v>1300</v>
      </c>
      <c r="Q35" s="54">
        <v>1563</v>
      </c>
      <c r="R35" s="55">
        <v>1549</v>
      </c>
      <c r="S35" s="55">
        <v>1299</v>
      </c>
      <c r="T35" s="54">
        <v>2049</v>
      </c>
      <c r="U35" s="54">
        <v>2332</v>
      </c>
      <c r="V35" s="53">
        <v>2372</v>
      </c>
      <c r="W35" s="54">
        <v>3270</v>
      </c>
      <c r="X35" s="54">
        <v>2994</v>
      </c>
      <c r="Y35" s="54">
        <v>4177</v>
      </c>
      <c r="Z35" s="77">
        <v>4939</v>
      </c>
      <c r="AA35" s="77">
        <v>5602</v>
      </c>
      <c r="AB35" s="77">
        <v>6720</v>
      </c>
      <c r="AC35" s="54">
        <f>7053718515/1000000</f>
        <v>7053.7185149999996</v>
      </c>
      <c r="AD35" s="54">
        <v>7740</v>
      </c>
      <c r="AE35" s="54">
        <v>7482</v>
      </c>
      <c r="AF35" s="81">
        <v>8664</v>
      </c>
      <c r="AG35" s="77">
        <v>11758</v>
      </c>
      <c r="AH35" s="54">
        <v>11835</v>
      </c>
      <c r="AI35" s="77">
        <v>12581</v>
      </c>
      <c r="AJ35" s="77">
        <v>12086</v>
      </c>
      <c r="AK35" s="77"/>
      <c r="AL35" s="77"/>
    </row>
    <row r="36" spans="2:38" x14ac:dyDescent="0.2">
      <c r="B36" s="53"/>
      <c r="C36" s="71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  <c r="S36" s="55"/>
      <c r="T36" s="54"/>
      <c r="U36" s="54"/>
      <c r="V36" s="53"/>
      <c r="W36" s="54"/>
      <c r="X36" s="53"/>
      <c r="Y36" s="53"/>
      <c r="Z36" s="74"/>
      <c r="AA36" s="74"/>
      <c r="AB36" s="74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2:38" x14ac:dyDescent="0.2">
      <c r="B37" s="53"/>
      <c r="C37" s="71" t="s">
        <v>167</v>
      </c>
      <c r="D37" s="54"/>
      <c r="E37" s="54"/>
      <c r="F37" s="54"/>
      <c r="G37" s="54"/>
      <c r="H37" s="54">
        <v>75</v>
      </c>
      <c r="I37" s="54">
        <v>326</v>
      </c>
      <c r="J37" s="54">
        <v>289</v>
      </c>
      <c r="K37" s="54">
        <v>380</v>
      </c>
      <c r="L37" s="54">
        <v>-95</v>
      </c>
      <c r="M37" s="54">
        <v>200</v>
      </c>
      <c r="N37" s="54">
        <v>250</v>
      </c>
      <c r="O37" s="54">
        <v>142</v>
      </c>
      <c r="P37" s="117">
        <v>165</v>
      </c>
      <c r="Q37" s="54">
        <v>326</v>
      </c>
      <c r="R37" s="55">
        <v>370</v>
      </c>
      <c r="S37" s="55">
        <v>189</v>
      </c>
      <c r="T37" s="54">
        <v>237</v>
      </c>
      <c r="U37" s="54">
        <v>243</v>
      </c>
      <c r="V37" s="54">
        <v>438</v>
      </c>
      <c r="W37" s="54">
        <v>583</v>
      </c>
      <c r="X37" s="54">
        <v>594</v>
      </c>
      <c r="Y37" s="54">
        <v>581</v>
      </c>
      <c r="Z37" s="77">
        <v>253</v>
      </c>
      <c r="AA37" s="77">
        <v>494</v>
      </c>
      <c r="AB37" s="77">
        <v>934</v>
      </c>
      <c r="AC37" s="54">
        <f>1298814235/1000000</f>
        <v>1298.8142350000001</v>
      </c>
      <c r="AD37" s="54">
        <v>1890</v>
      </c>
      <c r="AE37" s="54">
        <v>949</v>
      </c>
      <c r="AF37" s="81">
        <v>1297</v>
      </c>
      <c r="AG37" s="77">
        <v>1003</v>
      </c>
      <c r="AH37" s="54">
        <v>2055</v>
      </c>
      <c r="AI37" s="77">
        <v>734</v>
      </c>
      <c r="AJ37" s="77">
        <v>1349</v>
      </c>
      <c r="AK37" s="77"/>
      <c r="AL37" s="77"/>
    </row>
    <row r="38" spans="2:38" x14ac:dyDescent="0.2">
      <c r="B38" s="53"/>
      <c r="C38" s="71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5"/>
      <c r="S38" s="55"/>
      <c r="T38" s="54"/>
      <c r="U38" s="54"/>
      <c r="V38" s="53"/>
      <c r="W38" s="54"/>
      <c r="X38" s="53"/>
      <c r="Y38" s="53"/>
      <c r="Z38" s="74"/>
      <c r="AA38" s="74"/>
      <c r="AB38" s="74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2:38" x14ac:dyDescent="0.2">
      <c r="B39" s="53"/>
      <c r="C39" s="71" t="s">
        <v>48</v>
      </c>
      <c r="D39" s="54"/>
      <c r="E39" s="54"/>
      <c r="F39" s="54"/>
      <c r="G39" s="54"/>
      <c r="H39" s="54">
        <v>2601</v>
      </c>
      <c r="I39" s="54">
        <v>2493</v>
      </c>
      <c r="J39" s="54">
        <v>3830</v>
      </c>
      <c r="K39" s="54">
        <v>4481</v>
      </c>
      <c r="L39" s="54">
        <v>4182</v>
      </c>
      <c r="M39" s="54">
        <v>4222</v>
      </c>
      <c r="N39" s="54">
        <v>4280</v>
      </c>
      <c r="O39" s="54">
        <v>4200</v>
      </c>
      <c r="P39" s="54">
        <v>4400</v>
      </c>
      <c r="Q39" s="54">
        <v>5610</v>
      </c>
      <c r="R39" s="55">
        <v>6315</v>
      </c>
      <c r="S39" s="55">
        <v>5327</v>
      </c>
      <c r="T39" s="54">
        <v>8375</v>
      </c>
      <c r="U39" s="54">
        <v>11089</v>
      </c>
      <c r="V39" s="54">
        <v>12050</v>
      </c>
      <c r="W39" s="54">
        <v>14836</v>
      </c>
      <c r="X39" s="54">
        <v>14993</v>
      </c>
      <c r="Y39" s="54">
        <v>17733</v>
      </c>
      <c r="Z39" s="77">
        <v>19247</v>
      </c>
      <c r="AA39" s="77">
        <v>22282</v>
      </c>
      <c r="AB39" s="77">
        <v>26677</v>
      </c>
      <c r="AC39" s="54">
        <f>29586363897/1000000</f>
        <v>29586.363896999999</v>
      </c>
      <c r="AD39" s="54">
        <v>36911</v>
      </c>
      <c r="AE39" s="54">
        <v>44708</v>
      </c>
      <c r="AF39" s="81">
        <v>57983</v>
      </c>
      <c r="AG39" s="77">
        <v>68505</v>
      </c>
      <c r="AH39" s="54">
        <v>88050</v>
      </c>
      <c r="AI39" s="77">
        <v>69192</v>
      </c>
      <c r="AJ39" s="77">
        <v>51477</v>
      </c>
      <c r="AK39" s="77"/>
      <c r="AL39" s="77"/>
    </row>
    <row r="40" spans="2:38" hidden="1" x14ac:dyDescent="0.2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4"/>
      <c r="U40" s="54"/>
      <c r="V40" s="53"/>
      <c r="W40" s="54"/>
      <c r="X40" s="53"/>
      <c r="Y40" s="53"/>
      <c r="Z40" s="74"/>
      <c r="AA40" s="74"/>
      <c r="AB40" s="74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2:38" hidden="1" x14ac:dyDescent="0.2">
      <c r="B41" s="53"/>
      <c r="C41" s="72" t="s">
        <v>46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4"/>
      <c r="U41" s="54"/>
      <c r="V41" s="53"/>
      <c r="W41" s="54"/>
      <c r="X41" s="53"/>
      <c r="Y41" s="53"/>
      <c r="Z41" s="74"/>
      <c r="AA41" s="74"/>
      <c r="AB41" s="74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2:38" hidden="1" x14ac:dyDescent="0.2">
      <c r="B42" s="53"/>
      <c r="C42" s="53" t="s">
        <v>42</v>
      </c>
      <c r="D42" s="54" t="e">
        <f>D31+D18+#REF!</f>
        <v>#REF!</v>
      </c>
      <c r="E42" s="54" t="e">
        <f>E31+E18+#REF!</f>
        <v>#REF!</v>
      </c>
      <c r="F42" s="54" t="e">
        <f>F31+F18+#REF!</f>
        <v>#REF!</v>
      </c>
      <c r="G42" s="54" t="e">
        <f>G31+G18+#REF!</f>
        <v>#REF!</v>
      </c>
      <c r="H42" s="54" t="e">
        <f>H31+H18+#REF!</f>
        <v>#REF!</v>
      </c>
      <c r="I42" s="54" t="e">
        <f>I31+I18+#REF!</f>
        <v>#REF!</v>
      </c>
      <c r="J42" s="54" t="e">
        <f>J31+J18+#REF!</f>
        <v>#REF!</v>
      </c>
      <c r="K42" s="54" t="e">
        <f>K31+K18+#REF!</f>
        <v>#REF!</v>
      </c>
      <c r="L42" s="54" t="e">
        <f>L31+L18+#REF!</f>
        <v>#REF!</v>
      </c>
      <c r="M42" s="54" t="e">
        <f>M31+M18+#REF!</f>
        <v>#REF!</v>
      </c>
      <c r="N42" s="54" t="e">
        <f>N31+N18+#REF!</f>
        <v>#REF!</v>
      </c>
      <c r="O42" s="54" t="e">
        <f>O31+O18+#REF!</f>
        <v>#REF!</v>
      </c>
      <c r="P42" s="54" t="e">
        <f>P31+P18+#REF!</f>
        <v>#REF!</v>
      </c>
      <c r="Q42" s="54" t="e">
        <f>Q31+Q18+#REF!</f>
        <v>#REF!</v>
      </c>
      <c r="R42" s="54" t="e">
        <f>R31+R18+#REF!</f>
        <v>#REF!</v>
      </c>
      <c r="S42" s="54">
        <v>76</v>
      </c>
      <c r="T42" s="54">
        <v>72</v>
      </c>
      <c r="U42" s="54">
        <v>62</v>
      </c>
      <c r="V42" s="54">
        <v>47</v>
      </c>
      <c r="W42" s="54">
        <v>61</v>
      </c>
      <c r="X42" s="54">
        <v>59</v>
      </c>
      <c r="Y42" s="54">
        <v>104</v>
      </c>
      <c r="Z42" s="74"/>
      <c r="AA42" s="74"/>
      <c r="AB42" s="74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2:38" hidden="1" x14ac:dyDescent="0.2">
      <c r="B43" s="53"/>
      <c r="C43" s="53" t="s">
        <v>43</v>
      </c>
      <c r="D43" s="54">
        <f t="shared" ref="D43:Q43" si="7">D32+D19+D15</f>
        <v>276</v>
      </c>
      <c r="E43" s="54">
        <f t="shared" si="7"/>
        <v>348</v>
      </c>
      <c r="F43" s="54">
        <f t="shared" si="7"/>
        <v>373</v>
      </c>
      <c r="G43" s="54">
        <f t="shared" si="7"/>
        <v>385</v>
      </c>
      <c r="H43" s="54">
        <f t="shared" si="7"/>
        <v>415</v>
      </c>
      <c r="I43" s="54">
        <f t="shared" si="7"/>
        <v>459</v>
      </c>
      <c r="J43" s="54">
        <f t="shared" si="7"/>
        <v>478</v>
      </c>
      <c r="K43" s="54">
        <f t="shared" si="7"/>
        <v>497</v>
      </c>
      <c r="L43" s="54">
        <f t="shared" si="7"/>
        <v>499</v>
      </c>
      <c r="M43" s="54">
        <f t="shared" si="7"/>
        <v>495</v>
      </c>
      <c r="N43" s="54">
        <f t="shared" si="7"/>
        <v>503</v>
      </c>
      <c r="O43" s="54">
        <f t="shared" si="7"/>
        <v>520</v>
      </c>
      <c r="P43" s="54">
        <f t="shared" si="7"/>
        <v>511</v>
      </c>
      <c r="Q43" s="54">
        <f t="shared" si="7"/>
        <v>522</v>
      </c>
      <c r="R43" s="54">
        <v>498</v>
      </c>
      <c r="S43" s="54">
        <f t="shared" ref="S43:Y43" si="8">S32+S19+S15</f>
        <v>580</v>
      </c>
      <c r="T43" s="54">
        <f t="shared" si="8"/>
        <v>616</v>
      </c>
      <c r="U43" s="54">
        <f t="shared" si="8"/>
        <v>652</v>
      </c>
      <c r="V43" s="54">
        <f t="shared" si="8"/>
        <v>669</v>
      </c>
      <c r="W43" s="54">
        <f t="shared" si="8"/>
        <v>667</v>
      </c>
      <c r="X43" s="54">
        <f t="shared" si="8"/>
        <v>692</v>
      </c>
      <c r="Y43" s="54">
        <f t="shared" si="8"/>
        <v>742</v>
      </c>
      <c r="Z43" s="74"/>
      <c r="AA43" s="74"/>
      <c r="AB43" s="74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2:38" x14ac:dyDescent="0.2">
      <c r="B44" s="5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57"/>
      <c r="X44" s="60"/>
      <c r="Y44" s="60"/>
      <c r="Z44" s="89"/>
      <c r="AA44" s="89"/>
      <c r="AB44" s="89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2:38" x14ac:dyDescent="0.2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6"/>
      <c r="X45" s="50"/>
      <c r="Y45" s="50"/>
      <c r="Z45" s="90"/>
      <c r="AA45" s="90"/>
      <c r="AB45" s="90"/>
      <c r="AC45" s="50"/>
      <c r="AD45" s="50"/>
      <c r="AE45" s="50"/>
      <c r="AF45" s="50"/>
      <c r="AG45" s="50"/>
      <c r="AH45" s="50"/>
      <c r="AI45" s="50"/>
      <c r="AJ45" s="53"/>
      <c r="AK45" s="53"/>
      <c r="AL45" s="53"/>
    </row>
    <row r="46" spans="2:38" x14ac:dyDescent="0.2">
      <c r="B46" s="53"/>
      <c r="C46" s="58" t="s">
        <v>78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ht="14.25" x14ac:dyDescent="0.2">
      <c r="B47" s="73"/>
      <c r="C47" s="53" t="s">
        <v>124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ht="14.25" x14ac:dyDescent="0.2">
      <c r="B48" s="73"/>
      <c r="C48" s="53" t="s">
        <v>126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2:38" ht="14.25" x14ac:dyDescent="0.2">
      <c r="B49" s="73"/>
      <c r="C49" s="53" t="s">
        <v>127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ht="14.25" x14ac:dyDescent="0.2">
      <c r="B50" s="73"/>
      <c r="C50" s="53" t="s">
        <v>179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2:38" ht="14.25" x14ac:dyDescent="0.2">
      <c r="B51" s="73"/>
      <c r="C51" s="53" t="s">
        <v>128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2:38" ht="14.25" x14ac:dyDescent="0.2">
      <c r="B52" s="73"/>
      <c r="C52" s="53" t="s">
        <v>189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2:38" ht="14.25" x14ac:dyDescent="0.2">
      <c r="B53" s="73"/>
      <c r="C53" s="53" t="s">
        <v>130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2:38" ht="14.25" x14ac:dyDescent="0.2">
      <c r="B54" s="73"/>
      <c r="C54" s="74" t="s">
        <v>132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2:38" ht="14.25" x14ac:dyDescent="0.2">
      <c r="B55" s="73"/>
      <c r="C55" s="53" t="s">
        <v>133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2:38" ht="14.25" x14ac:dyDescent="0.2">
      <c r="B56" s="75"/>
      <c r="C56" s="74" t="s">
        <v>169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2:38" ht="14.25" x14ac:dyDescent="0.2">
      <c r="B57" s="75"/>
      <c r="C57" s="99" t="s">
        <v>83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2:38" ht="14.25" x14ac:dyDescent="0.2">
      <c r="B58" s="75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  <row r="59" spans="2:38" ht="14.25" x14ac:dyDescent="0.2">
      <c r="B59" s="75"/>
      <c r="C59" s="59" t="s">
        <v>110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</row>
    <row r="60" spans="2:38" ht="14.25" x14ac:dyDescent="0.2">
      <c r="B60" s="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2:38" ht="14.25" x14ac:dyDescent="0.2">
      <c r="B61" s="2"/>
    </row>
    <row r="62" spans="2:38" ht="14.25" x14ac:dyDescent="0.2">
      <c r="B62" s="2"/>
    </row>
    <row r="63" spans="2:38" ht="14.25" x14ac:dyDescent="0.2">
      <c r="B63" s="2"/>
    </row>
    <row r="64" spans="2:38" ht="14.25" x14ac:dyDescent="0.2">
      <c r="B64" s="2"/>
    </row>
    <row r="65" spans="2:74" ht="14.25" x14ac:dyDescent="0.2">
      <c r="B65" s="2"/>
    </row>
    <row r="66" spans="2:74" ht="14.25" x14ac:dyDescent="0.2">
      <c r="B66" s="2"/>
    </row>
    <row r="67" spans="2:74" ht="14.25" x14ac:dyDescent="0.2">
      <c r="B67" s="2"/>
    </row>
    <row r="68" spans="2:74" ht="14.25" x14ac:dyDescent="0.2">
      <c r="B68" s="2"/>
    </row>
    <row r="69" spans="2:74" ht="14.25" x14ac:dyDescent="0.2">
      <c r="B69" s="2"/>
    </row>
    <row r="70" spans="2:74" ht="14.25" x14ac:dyDescent="0.2">
      <c r="B70" s="2"/>
    </row>
    <row r="71" spans="2:74" ht="14.25" x14ac:dyDescent="0.2">
      <c r="B71" s="2"/>
    </row>
    <row r="72" spans="2:74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</row>
    <row r="73" spans="2:74" s="22" customFormat="1" ht="9" customHeight="1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2:74" x14ac:dyDescent="0.2">
      <c r="B74" s="428">
        <f>'.09'!B90:N90+1</f>
        <v>1</v>
      </c>
      <c r="C74" s="428"/>
      <c r="D74" s="428"/>
      <c r="E74" s="428"/>
      <c r="F74" s="428"/>
      <c r="G74" s="428"/>
      <c r="H74" s="428"/>
      <c r="I74" s="428"/>
      <c r="J74" s="428"/>
      <c r="K74" s="428"/>
      <c r="L74" s="428"/>
      <c r="M74" s="428"/>
      <c r="N74" s="428"/>
      <c r="O74" s="428"/>
      <c r="P74" s="428"/>
      <c r="Q74" s="428"/>
      <c r="R74" s="428"/>
      <c r="S74" s="428"/>
      <c r="T74" s="428"/>
      <c r="U74" s="428"/>
      <c r="V74" s="428"/>
      <c r="W74" s="428"/>
      <c r="X74" s="428"/>
      <c r="Y74" s="428"/>
      <c r="Z74" s="428"/>
      <c r="AA74" s="428"/>
      <c r="AB74" s="428"/>
      <c r="AC74" s="428"/>
      <c r="AD74" s="428"/>
      <c r="AE74" s="428"/>
      <c r="AF74" s="428"/>
      <c r="AG74" s="428"/>
      <c r="AH74" s="428"/>
      <c r="AI74" s="4"/>
    </row>
    <row r="76" spans="2:74" x14ac:dyDescent="0.2">
      <c r="U76" s="11">
        <v>1998</v>
      </c>
      <c r="V76" s="11">
        <v>1999</v>
      </c>
      <c r="W76" s="12">
        <v>2000</v>
      </c>
      <c r="X76" s="14">
        <v>2001</v>
      </c>
      <c r="Y76" s="14">
        <v>2002</v>
      </c>
      <c r="Z76" s="14">
        <v>2003</v>
      </c>
      <c r="AA76" s="14">
        <v>2004</v>
      </c>
      <c r="AB76" s="20">
        <v>2005</v>
      </c>
      <c r="AC76" s="20">
        <v>2006</v>
      </c>
      <c r="AD76" s="14">
        <v>2007</v>
      </c>
      <c r="AE76" s="14">
        <v>2008</v>
      </c>
      <c r="AF76" s="14"/>
      <c r="AG76" s="14"/>
      <c r="AH76" s="14">
        <v>2009</v>
      </c>
      <c r="AI76" s="38"/>
    </row>
    <row r="78" spans="2:74" x14ac:dyDescent="0.2">
      <c r="X78">
        <v>72</v>
      </c>
      <c r="Y78">
        <v>69</v>
      </c>
      <c r="Z78">
        <v>66</v>
      </c>
      <c r="AA78">
        <v>66</v>
      </c>
      <c r="AB78">
        <v>57</v>
      </c>
      <c r="AC78">
        <v>87</v>
      </c>
      <c r="AD78">
        <v>91</v>
      </c>
    </row>
    <row r="79" spans="2:74" x14ac:dyDescent="0.2">
      <c r="X79">
        <v>21</v>
      </c>
      <c r="Y79">
        <v>21</v>
      </c>
      <c r="Z79">
        <v>24</v>
      </c>
      <c r="AA79">
        <v>26</v>
      </c>
      <c r="AB79">
        <v>28</v>
      </c>
      <c r="AC79">
        <v>28</v>
      </c>
      <c r="AD79">
        <v>31</v>
      </c>
    </row>
    <row r="80" spans="2:74" x14ac:dyDescent="0.2">
      <c r="X80">
        <v>28</v>
      </c>
      <c r="Y80">
        <v>25</v>
      </c>
      <c r="Z80">
        <v>25</v>
      </c>
      <c r="AA80">
        <v>25</v>
      </c>
      <c r="AB80">
        <v>27</v>
      </c>
      <c r="AC80">
        <v>25</v>
      </c>
      <c r="AD80">
        <v>25</v>
      </c>
    </row>
    <row r="82" spans="3:37" x14ac:dyDescent="0.2">
      <c r="X82">
        <f t="shared" ref="X82:AD82" si="9">+X78+X79+X80</f>
        <v>121</v>
      </c>
      <c r="Y82">
        <f t="shared" si="9"/>
        <v>115</v>
      </c>
      <c r="Z82">
        <f t="shared" si="9"/>
        <v>115</v>
      </c>
      <c r="AA82">
        <f t="shared" si="9"/>
        <v>117</v>
      </c>
      <c r="AB82">
        <f t="shared" si="9"/>
        <v>112</v>
      </c>
      <c r="AC82">
        <f t="shared" si="9"/>
        <v>140</v>
      </c>
      <c r="AD82">
        <f t="shared" si="9"/>
        <v>147</v>
      </c>
    </row>
    <row r="85" spans="3:37" x14ac:dyDescent="0.2">
      <c r="C85" s="16" t="s">
        <v>57</v>
      </c>
    </row>
    <row r="86" spans="3:37" x14ac:dyDescent="0.2">
      <c r="C86" s="30" t="s">
        <v>58</v>
      </c>
      <c r="U86" s="36">
        <v>22.264516</v>
      </c>
      <c r="V86" s="36">
        <v>20.890875999999999</v>
      </c>
      <c r="W86" s="36">
        <v>30.736514</v>
      </c>
      <c r="X86" s="36">
        <v>32.146695000000001</v>
      </c>
      <c r="Y86" s="36">
        <v>58.698279999999997</v>
      </c>
      <c r="Z86" s="36">
        <v>45.934528999999998</v>
      </c>
      <c r="AA86" s="36">
        <v>42.539406999999997</v>
      </c>
      <c r="AB86" s="36">
        <v>75.492098999999996</v>
      </c>
      <c r="AC86" s="36">
        <v>103.817841</v>
      </c>
      <c r="AD86" s="6">
        <v>100.594174</v>
      </c>
      <c r="AE86" s="36"/>
      <c r="AF86" s="36"/>
      <c r="AG86" s="36"/>
      <c r="AK86" s="34"/>
    </row>
    <row r="87" spans="3:37" x14ac:dyDescent="0.2">
      <c r="C87" s="30" t="s">
        <v>59</v>
      </c>
      <c r="U87" s="36">
        <v>9.8000290000000003</v>
      </c>
      <c r="V87" s="36">
        <v>9.9968690000000002</v>
      </c>
      <c r="W87" s="36">
        <v>10.786045</v>
      </c>
      <c r="X87" s="36">
        <v>12.067042000000001</v>
      </c>
      <c r="Y87" s="36">
        <v>12.422836</v>
      </c>
      <c r="Z87" s="36">
        <v>13.570627999999999</v>
      </c>
      <c r="AA87" s="36">
        <v>11.730959</v>
      </c>
      <c r="AB87" s="36">
        <v>19.103974000000001</v>
      </c>
      <c r="AC87" s="36">
        <v>25.030587000000001</v>
      </c>
      <c r="AD87" s="6">
        <v>26.754111000000002</v>
      </c>
      <c r="AE87" s="36"/>
      <c r="AF87" s="36"/>
      <c r="AG87" s="36"/>
    </row>
    <row r="88" spans="3:37" x14ac:dyDescent="0.2">
      <c r="C88" s="33" t="s">
        <v>60</v>
      </c>
      <c r="U88" s="36">
        <v>2.2369349999999999</v>
      </c>
      <c r="V88" s="36">
        <v>6.3788929999999997</v>
      </c>
      <c r="W88" s="36">
        <v>9.3045069999999992</v>
      </c>
      <c r="X88" s="36">
        <v>10.630763999999999</v>
      </c>
      <c r="Y88" s="36">
        <v>2.5668989999999998</v>
      </c>
      <c r="Z88" s="36">
        <v>14.745376</v>
      </c>
      <c r="AA88" s="36">
        <v>17.006995</v>
      </c>
      <c r="AB88" s="36">
        <v>19.401230000000002</v>
      </c>
      <c r="AC88" s="36">
        <v>17.730369</v>
      </c>
      <c r="AD88" s="6">
        <v>0</v>
      </c>
      <c r="AE88" s="36"/>
      <c r="AF88" s="36"/>
      <c r="AG88" s="36"/>
    </row>
    <row r="89" spans="3:37" s="42" customFormat="1" x14ac:dyDescent="0.2">
      <c r="C89" s="43" t="s">
        <v>70</v>
      </c>
      <c r="U89" s="44"/>
      <c r="V89" s="44"/>
      <c r="W89" s="44"/>
      <c r="X89" s="44"/>
      <c r="Y89" s="44"/>
      <c r="Z89" s="44"/>
      <c r="AA89" s="44">
        <v>16.58154</v>
      </c>
      <c r="AB89" s="44">
        <v>19.049833</v>
      </c>
      <c r="AC89" s="44">
        <v>17.303073999999999</v>
      </c>
      <c r="AD89" s="45"/>
      <c r="AE89" s="44"/>
      <c r="AF89" s="44"/>
      <c r="AG89" s="44"/>
    </row>
    <row r="90" spans="3:37" s="42" customFormat="1" x14ac:dyDescent="0.2">
      <c r="C90" s="43" t="s">
        <v>71</v>
      </c>
      <c r="U90" s="44"/>
      <c r="V90" s="44"/>
      <c r="W90" s="44"/>
      <c r="X90" s="44"/>
      <c r="Y90" s="44"/>
      <c r="Z90" s="44"/>
      <c r="AA90" s="44">
        <v>0.42545500000000003</v>
      </c>
      <c r="AB90" s="44">
        <v>0.35139700000000001</v>
      </c>
      <c r="AC90" s="44">
        <v>0.42729499999999998</v>
      </c>
      <c r="AD90" s="45"/>
      <c r="AE90" s="44"/>
      <c r="AF90" s="44"/>
      <c r="AG90" s="44"/>
    </row>
    <row r="91" spans="3:37" x14ac:dyDescent="0.2">
      <c r="C91" s="30" t="s">
        <v>61</v>
      </c>
      <c r="U91" s="36">
        <v>0.42364200000000002</v>
      </c>
      <c r="V91" s="36">
        <v>1.982553</v>
      </c>
      <c r="W91" s="36">
        <v>1.45</v>
      </c>
      <c r="X91" s="36">
        <v>7.9124949999999998</v>
      </c>
      <c r="Y91" s="36">
        <v>3.0926659999999999</v>
      </c>
      <c r="Z91" s="36">
        <v>2.2573599999999998</v>
      </c>
      <c r="AA91" s="36">
        <v>5.4975990000000001</v>
      </c>
      <c r="AB91" s="36">
        <v>8.0664949999999997</v>
      </c>
      <c r="AC91" s="36">
        <v>12.766143</v>
      </c>
      <c r="AD91" s="6">
        <v>0</v>
      </c>
      <c r="AE91" s="36"/>
      <c r="AF91" s="36"/>
      <c r="AG91" s="36"/>
    </row>
    <row r="92" spans="3:37" x14ac:dyDescent="0.2">
      <c r="C92" s="30" t="s">
        <v>62</v>
      </c>
      <c r="U92" s="36">
        <v>18.811070999999998</v>
      </c>
      <c r="V92" s="36">
        <v>21.42934</v>
      </c>
      <c r="W92" s="36">
        <v>36.785989000000001</v>
      </c>
      <c r="X92" s="36">
        <v>35.185993000000003</v>
      </c>
      <c r="Y92" s="36">
        <v>38.771712999999998</v>
      </c>
      <c r="Z92" s="36">
        <v>44.113357000000001</v>
      </c>
      <c r="AA92" s="36">
        <v>50.288947999999998</v>
      </c>
      <c r="AB92" s="36">
        <v>69.974911000000006</v>
      </c>
      <c r="AC92" s="36">
        <v>88.930149</v>
      </c>
      <c r="AD92" s="6">
        <v>103.978094</v>
      </c>
      <c r="AE92" s="36"/>
      <c r="AF92" s="36"/>
      <c r="AG92" s="36"/>
    </row>
    <row r="93" spans="3:37" x14ac:dyDescent="0.2">
      <c r="C93" s="30" t="s">
        <v>63</v>
      </c>
      <c r="U93" s="36">
        <v>0.82903099999999996</v>
      </c>
      <c r="V93" s="36">
        <v>0.54801100000000003</v>
      </c>
      <c r="W93" s="36">
        <v>0.64813699999999996</v>
      </c>
      <c r="X93" s="36">
        <v>0.69389800000000001</v>
      </c>
      <c r="Y93" s="36">
        <v>0.82708000000000004</v>
      </c>
      <c r="Z93" s="36">
        <v>0.667184</v>
      </c>
      <c r="AA93" s="36">
        <v>0.65199399999999996</v>
      </c>
      <c r="AB93" s="36">
        <v>1.664194</v>
      </c>
      <c r="AC93" s="36">
        <v>1.039253</v>
      </c>
      <c r="AD93" s="6">
        <v>0</v>
      </c>
      <c r="AE93" s="36"/>
      <c r="AF93" s="36"/>
      <c r="AG93" s="36"/>
    </row>
    <row r="94" spans="3:37" x14ac:dyDescent="0.2">
      <c r="C94" s="30" t="s">
        <v>64</v>
      </c>
      <c r="U94" s="36">
        <v>10.906617000000001</v>
      </c>
      <c r="V94" s="36">
        <v>10.810983</v>
      </c>
      <c r="W94" s="36">
        <v>12.746472000000001</v>
      </c>
      <c r="X94" s="36">
        <v>13.756727</v>
      </c>
      <c r="Y94" s="36">
        <v>13.583102999999999</v>
      </c>
      <c r="Z94" s="36">
        <v>15.446306</v>
      </c>
      <c r="AA94" s="36">
        <v>13.889189999999999</v>
      </c>
      <c r="AB94" s="36">
        <v>24.441445999999999</v>
      </c>
      <c r="AC94" s="36">
        <v>19.727478000000001</v>
      </c>
      <c r="AD94" s="36">
        <v>33.030540999999999</v>
      </c>
      <c r="AE94" s="36"/>
      <c r="AF94" s="36"/>
      <c r="AG94" s="36"/>
    </row>
    <row r="95" spans="3:37" x14ac:dyDescent="0.2">
      <c r="C95" s="30" t="s">
        <v>65</v>
      </c>
      <c r="U95" s="36">
        <v>2.1671149999999999</v>
      </c>
      <c r="V95" s="36">
        <v>0.74795699999999998</v>
      </c>
      <c r="W95" s="36">
        <v>0.71980100000000002</v>
      </c>
      <c r="X95" s="36">
        <v>0.41479700000000003</v>
      </c>
      <c r="Y95" s="36">
        <v>10.087603</v>
      </c>
      <c r="Z95" s="36">
        <v>1.346455</v>
      </c>
      <c r="AA95" s="36">
        <v>6.2147790000000001</v>
      </c>
      <c r="AB95" s="36">
        <v>1.4097</v>
      </c>
      <c r="AC95" s="36">
        <v>6.0839869999999996</v>
      </c>
      <c r="AD95" s="6">
        <v>0</v>
      </c>
      <c r="AE95" s="36"/>
      <c r="AF95" s="36"/>
      <c r="AG95" s="36"/>
    </row>
    <row r="96" spans="3:37" x14ac:dyDescent="0.2">
      <c r="C96" s="30" t="s">
        <v>22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36">
        <v>38.368062999999999</v>
      </c>
      <c r="AE96" s="6"/>
      <c r="AF96" s="6"/>
      <c r="AG96" s="6"/>
    </row>
    <row r="97" spans="3:33" x14ac:dyDescent="0.2">
      <c r="C97" s="16" t="s">
        <v>66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37">
        <f>SUM(U86:U88,U91:U96)</f>
        <v>67.438956000000005</v>
      </c>
      <c r="V97" s="37">
        <f t="shared" ref="V97:AC97" si="10">SUM(V86:V88,V91:V96)</f>
        <v>72.785482000000016</v>
      </c>
      <c r="W97" s="37">
        <f t="shared" si="10"/>
        <v>103.17746500000001</v>
      </c>
      <c r="X97" s="37">
        <f t="shared" si="10"/>
        <v>112.80841100000001</v>
      </c>
      <c r="Y97" s="37">
        <f t="shared" si="10"/>
        <v>140.05017999999998</v>
      </c>
      <c r="Z97" s="37">
        <f t="shared" si="10"/>
        <v>138.08119500000001</v>
      </c>
      <c r="AA97" s="37">
        <f t="shared" si="10"/>
        <v>147.81987100000001</v>
      </c>
      <c r="AB97" s="37">
        <f t="shared" si="10"/>
        <v>219.55404899999996</v>
      </c>
      <c r="AC97" s="37">
        <f t="shared" si="10"/>
        <v>275.12580700000001</v>
      </c>
      <c r="AD97" s="37">
        <f>SUM(AD86:AD88,AD91:AD96)</f>
        <v>302.72498300000001</v>
      </c>
      <c r="AE97" s="37"/>
      <c r="AF97" s="37"/>
      <c r="AG97" s="37"/>
    </row>
    <row r="98" spans="3:33" x14ac:dyDescent="0.2">
      <c r="AA98" s="6">
        <f>AA23-AA94-AA88-AA92</f>
        <v>-10.792216000000003</v>
      </c>
    </row>
    <row r="100" spans="3:33" x14ac:dyDescent="0.2">
      <c r="U100" s="35">
        <f>SUM(U94,U92,U95)</f>
        <v>31.884802999999998</v>
      </c>
      <c r="V100" s="35">
        <f>SUM(V94,V92,V95)</f>
        <v>32.988280000000003</v>
      </c>
      <c r="W100" s="35">
        <f>SUM(W94,W92,W95)</f>
        <v>50.252261999999995</v>
      </c>
      <c r="X100" s="35">
        <f t="shared" ref="X100:AC100" si="11">SUM(X94,X92,X95)</f>
        <v>49.357517000000001</v>
      </c>
      <c r="Y100" s="35">
        <f t="shared" si="11"/>
        <v>62.442419000000001</v>
      </c>
      <c r="Z100" s="35">
        <f t="shared" si="11"/>
        <v>60.906117999999999</v>
      </c>
      <c r="AA100" s="35">
        <f t="shared" si="11"/>
        <v>70.392916999999983</v>
      </c>
      <c r="AB100" s="35">
        <f t="shared" si="11"/>
        <v>95.826057000000006</v>
      </c>
      <c r="AC100" s="35">
        <f t="shared" si="11"/>
        <v>114.741614</v>
      </c>
      <c r="AD100" s="35">
        <f>SUM(AD94,AD92,AD95)</f>
        <v>137.008635</v>
      </c>
      <c r="AE100" s="35"/>
      <c r="AF100" s="35"/>
      <c r="AG100" s="35"/>
    </row>
    <row r="102" spans="3:33" x14ac:dyDescent="0.2">
      <c r="Y102" s="35">
        <f>Y100-Y95+Y88</f>
        <v>54.921714999999999</v>
      </c>
    </row>
  </sheetData>
  <mergeCells count="3">
    <mergeCell ref="B74:AH74"/>
    <mergeCell ref="Y4:AH4"/>
    <mergeCell ref="C8:AH8"/>
  </mergeCells>
  <phoneticPr fontId="7" type="noConversion"/>
  <printOptions horizontalCentered="1"/>
  <pageMargins left="1" right="1" top="1" bottom="1" header="0.5" footer="0.5"/>
  <pageSetup scale="6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7649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38100</xdr:rowOff>
              </from>
              <to>
                <xdr:col>1</xdr:col>
                <xdr:colOff>133350</xdr:colOff>
                <xdr:row>0</xdr:row>
                <xdr:rowOff>133350</xdr:rowOff>
              </to>
            </anchor>
          </objectPr>
        </oleObject>
      </mc:Choice>
      <mc:Fallback>
        <oleObject progId="MSPhotoEd.3" shapeId="2764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2:AE61"/>
  <sheetViews>
    <sheetView zoomScaleNormal="100" zoomScaleSheetLayoutView="100" workbookViewId="0">
      <selection activeCell="AB4" sqref="AB4"/>
    </sheetView>
  </sheetViews>
  <sheetFormatPr defaultRowHeight="12.75" x14ac:dyDescent="0.2"/>
  <cols>
    <col min="1" max="1" width="4.42578125" style="17" customWidth="1"/>
    <col min="2" max="2" width="7" style="17" bestFit="1" customWidth="1"/>
    <col min="3" max="3" width="30.7109375" style="17" customWidth="1"/>
    <col min="4" max="4" width="7.85546875" style="17" hidden="1" customWidth="1"/>
    <col min="5" max="5" width="7" style="17" hidden="1" customWidth="1"/>
    <col min="6" max="6" width="6.85546875" style="17" hidden="1" customWidth="1"/>
    <col min="7" max="7" width="6.7109375" style="17" hidden="1" customWidth="1"/>
    <col min="8" max="8" width="7.5703125" style="17" hidden="1" customWidth="1"/>
    <col min="9" max="9" width="7.85546875" style="17" hidden="1" customWidth="1"/>
    <col min="10" max="10" width="7.7109375" style="17" hidden="1" customWidth="1"/>
    <col min="11" max="11" width="8" style="17" hidden="1" customWidth="1"/>
    <col min="12" max="12" width="7.42578125" style="17" hidden="1" customWidth="1"/>
    <col min="13" max="13" width="8" style="17" hidden="1" customWidth="1"/>
    <col min="14" max="14" width="7.5703125" style="17" hidden="1" customWidth="1"/>
    <col min="15" max="18" width="13.28515625" style="17" hidden="1" customWidth="1"/>
    <col min="19" max="19" width="9.140625" style="17" hidden="1" customWidth="1"/>
    <col min="20" max="22" width="9.140625" style="17" customWidth="1"/>
    <col min="23" max="26" width="9.140625" style="17"/>
    <col min="27" max="28" width="9.140625" style="128"/>
    <col min="29" max="29" width="11" style="128" customWidth="1"/>
    <col min="30" max="31" width="9.140625" style="128"/>
    <col min="32" max="16384" width="9.140625" style="17"/>
  </cols>
  <sheetData>
    <row r="2" spans="2:29" x14ac:dyDescent="0.2">
      <c r="W2" s="144" t="s">
        <v>253</v>
      </c>
    </row>
    <row r="4" spans="2:29" ht="15" x14ac:dyDescent="0.25"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208"/>
    </row>
    <row r="7" spans="2:29" ht="15.75" x14ac:dyDescent="0.25">
      <c r="B7" s="150">
        <v>12.11</v>
      </c>
      <c r="C7" s="399" t="s">
        <v>258</v>
      </c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</row>
    <row r="8" spans="2:29" ht="12.75" customHeight="1" x14ac:dyDescent="0.25">
      <c r="B8" s="164"/>
      <c r="C8" s="179"/>
      <c r="D8" s="48"/>
      <c r="E8" s="48"/>
      <c r="F8" s="48"/>
      <c r="G8" s="48"/>
      <c r="H8" s="48"/>
      <c r="I8" s="48"/>
    </row>
    <row r="9" spans="2:29" ht="12.75" customHeight="1" x14ac:dyDescent="0.25">
      <c r="B9" s="164"/>
      <c r="C9" s="179"/>
      <c r="D9" s="48"/>
      <c r="E9" s="48"/>
      <c r="G9" s="48"/>
      <c r="H9" s="48"/>
      <c r="I9" s="48"/>
      <c r="P9" s="180"/>
      <c r="Q9" s="180"/>
      <c r="R9" s="180"/>
      <c r="S9" s="181"/>
      <c r="T9" s="181"/>
      <c r="U9" s="133"/>
      <c r="V9" s="25"/>
    </row>
    <row r="10" spans="2:29" ht="15.75" x14ac:dyDescent="0.25">
      <c r="B10" s="164"/>
      <c r="C10" s="218"/>
      <c r="D10" s="218">
        <v>1994</v>
      </c>
      <c r="E10" s="218">
        <f>D10+1</f>
        <v>1995</v>
      </c>
      <c r="F10" s="218">
        <f>E10+1</f>
        <v>1996</v>
      </c>
      <c r="G10" s="358">
        <f>F10+1</f>
        <v>1997</v>
      </c>
      <c r="H10" s="358">
        <f>G10+1</f>
        <v>1998</v>
      </c>
      <c r="I10" s="358">
        <f>H10+1</f>
        <v>1999</v>
      </c>
      <c r="J10" s="218">
        <v>2000</v>
      </c>
      <c r="K10" s="20">
        <v>2001</v>
      </c>
      <c r="L10" s="20">
        <v>2002</v>
      </c>
      <c r="M10" s="20">
        <v>2003</v>
      </c>
      <c r="N10" s="20">
        <v>2004</v>
      </c>
      <c r="O10" s="20">
        <v>2005</v>
      </c>
      <c r="P10" s="20">
        <v>2006</v>
      </c>
      <c r="Q10" s="20">
        <v>2008</v>
      </c>
      <c r="R10" s="20">
        <v>2009</v>
      </c>
      <c r="S10" s="359">
        <v>2010</v>
      </c>
      <c r="T10" s="220">
        <v>2011</v>
      </c>
      <c r="U10" s="20">
        <v>2012</v>
      </c>
      <c r="V10" s="20">
        <v>2013</v>
      </c>
      <c r="W10" s="20">
        <v>2014</v>
      </c>
      <c r="X10" s="20">
        <v>2015</v>
      </c>
      <c r="Y10" s="20">
        <v>2016</v>
      </c>
      <c r="Z10" s="20">
        <v>2017</v>
      </c>
      <c r="AA10" s="20">
        <v>2018</v>
      </c>
      <c r="AB10" s="20">
        <v>2019</v>
      </c>
      <c r="AC10" s="20">
        <v>2020</v>
      </c>
    </row>
    <row r="11" spans="2:29" ht="15.75" x14ac:dyDescent="0.25">
      <c r="B11" s="164"/>
      <c r="C11" s="360"/>
      <c r="D11" s="360"/>
      <c r="E11" s="360"/>
      <c r="F11" s="360"/>
      <c r="G11" s="361"/>
      <c r="H11" s="361"/>
      <c r="I11" s="361"/>
      <c r="J11" s="360"/>
      <c r="K11" s="151"/>
      <c r="L11" s="151"/>
      <c r="M11" s="151"/>
      <c r="N11" s="151"/>
      <c r="O11" s="151"/>
      <c r="P11" s="151"/>
      <c r="Q11" s="151"/>
      <c r="R11" s="151"/>
      <c r="S11" s="151"/>
      <c r="T11" s="362"/>
      <c r="U11" s="151"/>
      <c r="V11" s="151"/>
      <c r="W11" s="151"/>
      <c r="X11" s="151"/>
      <c r="Y11" s="151"/>
      <c r="Z11" s="151"/>
      <c r="AA11" s="151"/>
      <c r="AB11" s="151"/>
      <c r="AC11" s="151"/>
    </row>
    <row r="12" spans="2:29" x14ac:dyDescent="0.2">
      <c r="C12" s="144" t="s">
        <v>94</v>
      </c>
      <c r="AA12" s="17"/>
      <c r="AB12" s="17"/>
      <c r="AC12" s="17"/>
    </row>
    <row r="13" spans="2:29" x14ac:dyDescent="0.2">
      <c r="C13" s="130" t="s">
        <v>170</v>
      </c>
      <c r="D13" s="221">
        <v>411</v>
      </c>
      <c r="E13" s="221">
        <v>469</v>
      </c>
      <c r="F13" s="221">
        <v>557</v>
      </c>
      <c r="G13" s="221">
        <v>592</v>
      </c>
      <c r="H13" s="221">
        <v>607</v>
      </c>
      <c r="I13" s="221">
        <v>617</v>
      </c>
      <c r="J13" s="221">
        <v>701</v>
      </c>
      <c r="K13" s="221">
        <v>659</v>
      </c>
      <c r="L13" s="221">
        <v>641</v>
      </c>
      <c r="M13" s="221">
        <v>592</v>
      </c>
      <c r="N13" s="221">
        <v>616</v>
      </c>
      <c r="O13" s="221">
        <v>598</v>
      </c>
      <c r="P13" s="221">
        <v>548</v>
      </c>
      <c r="Q13" s="221">
        <v>510</v>
      </c>
      <c r="R13" s="221">
        <v>448</v>
      </c>
      <c r="S13" s="221">
        <v>435</v>
      </c>
      <c r="T13" s="221">
        <v>424</v>
      </c>
      <c r="U13" s="221">
        <v>408</v>
      </c>
      <c r="V13" s="221">
        <v>398</v>
      </c>
      <c r="W13" s="221">
        <v>386</v>
      </c>
      <c r="X13" s="221">
        <v>380</v>
      </c>
      <c r="Y13" s="221">
        <v>363</v>
      </c>
      <c r="Z13" s="221">
        <v>331</v>
      </c>
      <c r="AA13" s="221">
        <v>317</v>
      </c>
      <c r="AB13" s="221">
        <v>295</v>
      </c>
      <c r="AC13" s="221">
        <v>294</v>
      </c>
    </row>
    <row r="14" spans="2:29" x14ac:dyDescent="0.2">
      <c r="C14" s="130" t="s">
        <v>171</v>
      </c>
      <c r="D14" s="221">
        <v>37</v>
      </c>
      <c r="E14" s="221">
        <v>39</v>
      </c>
      <c r="F14" s="221">
        <v>54</v>
      </c>
      <c r="G14" s="221">
        <v>56</v>
      </c>
      <c r="H14" s="221">
        <v>44</v>
      </c>
      <c r="I14" s="221">
        <v>44</v>
      </c>
      <c r="J14" s="221">
        <v>50</v>
      </c>
      <c r="K14" s="221">
        <v>52</v>
      </c>
      <c r="L14" s="221">
        <v>51</v>
      </c>
      <c r="M14" s="221">
        <v>48</v>
      </c>
      <c r="N14" s="221">
        <v>67</v>
      </c>
      <c r="O14" s="221">
        <v>79</v>
      </c>
      <c r="P14" s="221">
        <v>105</v>
      </c>
      <c r="Q14" s="221">
        <v>129</v>
      </c>
      <c r="R14" s="221">
        <v>131</v>
      </c>
      <c r="S14" s="221">
        <v>133</v>
      </c>
      <c r="T14" s="221">
        <v>120</v>
      </c>
      <c r="U14" s="221">
        <v>121</v>
      </c>
      <c r="V14" s="221">
        <v>111</v>
      </c>
      <c r="W14" s="221">
        <v>104</v>
      </c>
      <c r="X14" s="221">
        <v>101</v>
      </c>
      <c r="Y14" s="221">
        <v>90</v>
      </c>
      <c r="Z14" s="221">
        <v>81</v>
      </c>
      <c r="AA14" s="221">
        <v>75</v>
      </c>
      <c r="AB14" s="221">
        <v>64</v>
      </c>
      <c r="AC14" s="221">
        <v>59</v>
      </c>
    </row>
    <row r="15" spans="2:29" x14ac:dyDescent="0.2">
      <c r="C15" s="130" t="s">
        <v>172</v>
      </c>
      <c r="D15" s="221">
        <v>438</v>
      </c>
      <c r="E15" s="221">
        <v>551</v>
      </c>
      <c r="F15" s="221">
        <v>724</v>
      </c>
      <c r="G15" s="221">
        <v>1037</v>
      </c>
      <c r="H15" s="221">
        <v>1328</v>
      </c>
      <c r="I15" s="221">
        <v>1610</v>
      </c>
      <c r="J15" s="221">
        <v>2263</v>
      </c>
      <c r="K15" s="363">
        <v>2937</v>
      </c>
      <c r="L15" s="221">
        <v>3593</v>
      </c>
      <c r="M15" s="221">
        <v>4168</v>
      </c>
      <c r="N15" s="221">
        <v>5249</v>
      </c>
      <c r="O15" s="221">
        <v>6429</v>
      </c>
      <c r="P15" s="221">
        <v>7481</v>
      </c>
      <c r="Q15" s="221">
        <v>9231</v>
      </c>
      <c r="R15" s="221">
        <v>8944</v>
      </c>
      <c r="S15" s="221">
        <v>8870</v>
      </c>
      <c r="T15" s="221">
        <v>8714</v>
      </c>
      <c r="U15" s="221">
        <v>8421</v>
      </c>
      <c r="V15" s="221">
        <v>8235</v>
      </c>
      <c r="W15" s="221">
        <v>7835</v>
      </c>
      <c r="X15" s="221">
        <v>7654</v>
      </c>
      <c r="Y15" s="221">
        <v>7293</v>
      </c>
      <c r="Z15" s="221">
        <v>7331</v>
      </c>
      <c r="AA15" s="221">
        <v>7654</v>
      </c>
      <c r="AB15" s="221">
        <v>7612</v>
      </c>
      <c r="AC15" s="221">
        <v>7972</v>
      </c>
    </row>
    <row r="16" spans="2:29" x14ac:dyDescent="0.2">
      <c r="C16" s="130" t="s">
        <v>173</v>
      </c>
      <c r="D16" s="221"/>
      <c r="E16" s="221"/>
      <c r="F16" s="221"/>
      <c r="G16" s="221"/>
      <c r="H16" s="221"/>
      <c r="I16" s="221"/>
      <c r="J16" s="221"/>
      <c r="K16" s="363"/>
      <c r="L16" s="221"/>
      <c r="M16" s="221"/>
      <c r="N16" s="221"/>
      <c r="O16" s="221"/>
      <c r="P16" s="221"/>
      <c r="Q16" s="221"/>
      <c r="R16" s="221"/>
      <c r="S16" s="344" t="s">
        <v>51</v>
      </c>
      <c r="T16" s="344" t="s">
        <v>51</v>
      </c>
      <c r="U16" s="221">
        <v>1891</v>
      </c>
      <c r="V16" s="221">
        <v>2635</v>
      </c>
      <c r="W16" s="221">
        <v>2685</v>
      </c>
      <c r="X16" s="221">
        <v>2805</v>
      </c>
      <c r="Y16" s="221">
        <v>2840</v>
      </c>
      <c r="Z16" s="221">
        <v>2816</v>
      </c>
      <c r="AA16" s="221">
        <v>2946</v>
      </c>
      <c r="AB16" s="221">
        <v>2886</v>
      </c>
      <c r="AC16" s="221">
        <v>2988</v>
      </c>
    </row>
    <row r="17" spans="3:31" x14ac:dyDescent="0.2">
      <c r="C17" s="130" t="s">
        <v>259</v>
      </c>
      <c r="D17" s="221"/>
      <c r="E17" s="221"/>
      <c r="F17" s="221"/>
      <c r="G17" s="221"/>
      <c r="H17" s="221"/>
      <c r="I17" s="221"/>
      <c r="J17" s="221"/>
      <c r="K17" s="363"/>
      <c r="L17" s="221"/>
      <c r="M17" s="221"/>
      <c r="N17" s="221"/>
      <c r="O17" s="221"/>
      <c r="P17" s="221"/>
      <c r="Q17" s="221"/>
      <c r="R17" s="221"/>
      <c r="S17" s="344"/>
      <c r="T17" s="344"/>
      <c r="U17" s="221"/>
      <c r="V17" s="221"/>
      <c r="W17" s="221"/>
      <c r="X17" s="221"/>
      <c r="Y17" s="221"/>
      <c r="Z17" s="221"/>
      <c r="AA17" s="221"/>
      <c r="AB17" s="221"/>
      <c r="AC17" s="221">
        <v>583</v>
      </c>
    </row>
    <row r="18" spans="3:31" x14ac:dyDescent="0.2">
      <c r="C18" s="144" t="s">
        <v>28</v>
      </c>
      <c r="D18" s="239">
        <f>SUM(D13:D17)</f>
        <v>886</v>
      </c>
      <c r="E18" s="239">
        <f t="shared" ref="E18:AC18" si="0">SUM(E13:E17)</f>
        <v>1059</v>
      </c>
      <c r="F18" s="239">
        <f t="shared" si="0"/>
        <v>1335</v>
      </c>
      <c r="G18" s="239">
        <f t="shared" si="0"/>
        <v>1685</v>
      </c>
      <c r="H18" s="239">
        <f t="shared" si="0"/>
        <v>1979</v>
      </c>
      <c r="I18" s="239">
        <f t="shared" si="0"/>
        <v>2271</v>
      </c>
      <c r="J18" s="239">
        <f t="shared" si="0"/>
        <v>3014</v>
      </c>
      <c r="K18" s="239">
        <f t="shared" si="0"/>
        <v>3648</v>
      </c>
      <c r="L18" s="239">
        <f t="shared" si="0"/>
        <v>4285</v>
      </c>
      <c r="M18" s="239">
        <f t="shared" si="0"/>
        <v>4808</v>
      </c>
      <c r="N18" s="239">
        <f t="shared" si="0"/>
        <v>5932</v>
      </c>
      <c r="O18" s="239">
        <f t="shared" si="0"/>
        <v>7106</v>
      </c>
      <c r="P18" s="239">
        <f t="shared" si="0"/>
        <v>8134</v>
      </c>
      <c r="Q18" s="239">
        <f t="shared" si="0"/>
        <v>9870</v>
      </c>
      <c r="R18" s="239">
        <f t="shared" si="0"/>
        <v>9523</v>
      </c>
      <c r="S18" s="239">
        <f t="shared" si="0"/>
        <v>9438</v>
      </c>
      <c r="T18" s="239">
        <f t="shared" si="0"/>
        <v>9258</v>
      </c>
      <c r="U18" s="239">
        <f t="shared" si="0"/>
        <v>10841</v>
      </c>
      <c r="V18" s="239">
        <f t="shared" si="0"/>
        <v>11379</v>
      </c>
      <c r="W18" s="239">
        <f t="shared" si="0"/>
        <v>11010</v>
      </c>
      <c r="X18" s="239">
        <f t="shared" si="0"/>
        <v>10940</v>
      </c>
      <c r="Y18" s="239">
        <f t="shared" si="0"/>
        <v>10586</v>
      </c>
      <c r="Z18" s="239">
        <f t="shared" si="0"/>
        <v>10559</v>
      </c>
      <c r="AA18" s="239">
        <f t="shared" si="0"/>
        <v>10992</v>
      </c>
      <c r="AB18" s="239">
        <f t="shared" si="0"/>
        <v>10857</v>
      </c>
      <c r="AC18" s="239">
        <f t="shared" si="0"/>
        <v>11896</v>
      </c>
    </row>
    <row r="19" spans="3:31" x14ac:dyDescent="0.2">
      <c r="D19" s="221"/>
      <c r="E19" s="221"/>
      <c r="F19" s="221"/>
      <c r="G19" s="221"/>
      <c r="H19" s="221"/>
      <c r="I19" s="221"/>
      <c r="J19" s="221"/>
      <c r="K19" s="364"/>
      <c r="L19" s="364"/>
      <c r="AA19" s="17"/>
      <c r="AB19" s="17"/>
      <c r="AC19" s="17"/>
    </row>
    <row r="20" spans="3:31" x14ac:dyDescent="0.2">
      <c r="C20" s="152" t="s">
        <v>47</v>
      </c>
      <c r="D20" s="221"/>
      <c r="E20" s="221"/>
      <c r="F20" s="221"/>
      <c r="G20" s="221"/>
      <c r="H20" s="221"/>
      <c r="I20" s="221"/>
      <c r="J20" s="221"/>
      <c r="K20" s="364"/>
      <c r="L20" s="364"/>
      <c r="AA20" s="17"/>
      <c r="AB20" s="17"/>
      <c r="AC20" s="17"/>
      <c r="AD20" s="136"/>
    </row>
    <row r="21" spans="3:31" x14ac:dyDescent="0.2">
      <c r="C21" s="130" t="s">
        <v>175</v>
      </c>
      <c r="D21" s="221">
        <v>7</v>
      </c>
      <c r="E21" s="221">
        <v>16</v>
      </c>
      <c r="F21" s="221">
        <v>20</v>
      </c>
      <c r="G21" s="221">
        <v>19</v>
      </c>
      <c r="H21" s="221">
        <v>20</v>
      </c>
      <c r="I21" s="221">
        <v>20</v>
      </c>
      <c r="J21" s="221">
        <v>19</v>
      </c>
      <c r="K21" s="221">
        <v>16</v>
      </c>
      <c r="L21" s="221">
        <v>13</v>
      </c>
      <c r="M21" s="221">
        <v>10</v>
      </c>
      <c r="N21" s="221">
        <v>7</v>
      </c>
      <c r="O21" s="221">
        <v>7</v>
      </c>
      <c r="P21" s="221">
        <v>5</v>
      </c>
      <c r="Q21" s="221">
        <v>4</v>
      </c>
      <c r="R21" s="221">
        <v>2</v>
      </c>
      <c r="S21" s="221">
        <v>2</v>
      </c>
      <c r="T21" s="221">
        <v>2</v>
      </c>
      <c r="U21" s="221">
        <v>2</v>
      </c>
      <c r="V21" s="221">
        <v>2</v>
      </c>
      <c r="W21" s="365">
        <v>2</v>
      </c>
      <c r="X21" s="365">
        <v>2</v>
      </c>
      <c r="Y21" s="365">
        <v>1</v>
      </c>
      <c r="Z21" s="365">
        <v>1</v>
      </c>
      <c r="AA21" s="365">
        <v>1</v>
      </c>
      <c r="AB21" s="365">
        <v>1</v>
      </c>
      <c r="AC21" s="365">
        <v>1</v>
      </c>
      <c r="AD21" s="137"/>
    </row>
    <row r="22" spans="3:31" x14ac:dyDescent="0.2">
      <c r="C22" s="130" t="s">
        <v>176</v>
      </c>
      <c r="D22" s="221">
        <v>46</v>
      </c>
      <c r="E22" s="221">
        <v>56</v>
      </c>
      <c r="F22" s="221">
        <v>64</v>
      </c>
      <c r="G22" s="221">
        <v>69</v>
      </c>
      <c r="H22" s="221">
        <v>72</v>
      </c>
      <c r="I22" s="221">
        <v>73</v>
      </c>
      <c r="J22" s="221">
        <v>77</v>
      </c>
      <c r="K22" s="221">
        <v>83</v>
      </c>
      <c r="L22" s="221">
        <v>85</v>
      </c>
      <c r="M22" s="221">
        <v>82</v>
      </c>
      <c r="N22" s="221">
        <v>83</v>
      </c>
      <c r="O22" s="221">
        <v>87</v>
      </c>
      <c r="P22" s="221">
        <v>91</v>
      </c>
      <c r="Q22" s="221">
        <v>102</v>
      </c>
      <c r="R22" s="221">
        <v>97</v>
      </c>
      <c r="S22" s="221">
        <v>94</v>
      </c>
      <c r="T22" s="221">
        <v>92</v>
      </c>
      <c r="U22" s="221">
        <v>90</v>
      </c>
      <c r="V22" s="221">
        <v>88</v>
      </c>
      <c r="W22" s="365">
        <v>84</v>
      </c>
      <c r="X22" s="365">
        <v>82</v>
      </c>
      <c r="Y22" s="365">
        <v>84</v>
      </c>
      <c r="Z22" s="365">
        <v>78</v>
      </c>
      <c r="AA22" s="365">
        <v>75</v>
      </c>
      <c r="AB22" s="365">
        <v>70</v>
      </c>
      <c r="AC22" s="365">
        <v>66</v>
      </c>
      <c r="AD22" s="136"/>
    </row>
    <row r="23" spans="3:31" x14ac:dyDescent="0.2">
      <c r="C23" s="130" t="s">
        <v>177</v>
      </c>
      <c r="D23" s="221">
        <v>15</v>
      </c>
      <c r="E23" s="221">
        <v>30</v>
      </c>
      <c r="F23" s="221">
        <v>40</v>
      </c>
      <c r="G23" s="221">
        <v>51</v>
      </c>
      <c r="H23" s="221">
        <v>69</v>
      </c>
      <c r="I23" s="221">
        <v>82</v>
      </c>
      <c r="J23" s="221">
        <v>106</v>
      </c>
      <c r="K23" s="221">
        <v>118</v>
      </c>
      <c r="L23" s="221">
        <v>132</v>
      </c>
      <c r="M23" s="221">
        <v>103</v>
      </c>
      <c r="N23" s="221">
        <v>83</v>
      </c>
      <c r="O23" s="221">
        <v>61</v>
      </c>
      <c r="P23" s="221">
        <v>57</v>
      </c>
      <c r="Q23" s="221">
        <v>49</v>
      </c>
      <c r="R23" s="221">
        <v>42</v>
      </c>
      <c r="S23" s="221">
        <v>38</v>
      </c>
      <c r="T23" s="221">
        <v>35</v>
      </c>
      <c r="U23" s="221">
        <v>32</v>
      </c>
      <c r="V23" s="221">
        <v>31</v>
      </c>
      <c r="W23" s="365">
        <v>29</v>
      </c>
      <c r="X23" s="365">
        <v>24</v>
      </c>
      <c r="Y23" s="365">
        <v>21</v>
      </c>
      <c r="Z23" s="365">
        <v>18</v>
      </c>
      <c r="AA23" s="365">
        <v>12</v>
      </c>
      <c r="AB23" s="365">
        <v>10</v>
      </c>
      <c r="AC23" s="365">
        <v>9</v>
      </c>
      <c r="AD23" s="136"/>
    </row>
    <row r="24" spans="3:31" x14ac:dyDescent="0.2">
      <c r="C24" s="152" t="s">
        <v>174</v>
      </c>
      <c r="D24" s="239">
        <f>SUM(D21:D23)</f>
        <v>68</v>
      </c>
      <c r="E24" s="239">
        <f t="shared" ref="E24:L24" si="1">SUM(E21:E23)</f>
        <v>102</v>
      </c>
      <c r="F24" s="239">
        <f t="shared" si="1"/>
        <v>124</v>
      </c>
      <c r="G24" s="239">
        <f t="shared" si="1"/>
        <v>139</v>
      </c>
      <c r="H24" s="239">
        <f t="shared" si="1"/>
        <v>161</v>
      </c>
      <c r="I24" s="239">
        <f t="shared" si="1"/>
        <v>175</v>
      </c>
      <c r="J24" s="239">
        <f t="shared" si="1"/>
        <v>202</v>
      </c>
      <c r="K24" s="239">
        <f t="shared" si="1"/>
        <v>217</v>
      </c>
      <c r="L24" s="239">
        <f t="shared" si="1"/>
        <v>230</v>
      </c>
      <c r="M24" s="366">
        <f t="shared" ref="M24:U24" si="2">SUM(M21:M23)</f>
        <v>195</v>
      </c>
      <c r="N24" s="366">
        <f t="shared" si="2"/>
        <v>173</v>
      </c>
      <c r="O24" s="366">
        <f t="shared" si="2"/>
        <v>155</v>
      </c>
      <c r="P24" s="366">
        <f t="shared" si="2"/>
        <v>153</v>
      </c>
      <c r="Q24" s="366">
        <f t="shared" si="2"/>
        <v>155</v>
      </c>
      <c r="R24" s="366">
        <f t="shared" si="2"/>
        <v>141</v>
      </c>
      <c r="S24" s="366">
        <f t="shared" si="2"/>
        <v>134</v>
      </c>
      <c r="T24" s="366">
        <f t="shared" si="2"/>
        <v>129</v>
      </c>
      <c r="U24" s="366">
        <f t="shared" si="2"/>
        <v>124</v>
      </c>
      <c r="V24" s="366">
        <v>121</v>
      </c>
      <c r="W24" s="366">
        <f t="shared" ref="W24:AB24" si="3">SUM(W21:W23)</f>
        <v>115</v>
      </c>
      <c r="X24" s="366">
        <f t="shared" si="3"/>
        <v>108</v>
      </c>
      <c r="Y24" s="366">
        <f t="shared" si="3"/>
        <v>106</v>
      </c>
      <c r="Z24" s="366">
        <f t="shared" si="3"/>
        <v>97</v>
      </c>
      <c r="AA24" s="366">
        <f t="shared" si="3"/>
        <v>88</v>
      </c>
      <c r="AB24" s="366">
        <f t="shared" si="3"/>
        <v>81</v>
      </c>
      <c r="AC24" s="366">
        <f t="shared" ref="AC24" si="4">SUM(AC21:AC23)</f>
        <v>76</v>
      </c>
      <c r="AD24" s="136"/>
    </row>
    <row r="25" spans="3:31" x14ac:dyDescent="0.2">
      <c r="C25" s="133"/>
      <c r="D25" s="133"/>
      <c r="E25" s="133"/>
      <c r="F25" s="133"/>
      <c r="G25" s="133"/>
      <c r="H25" s="133"/>
      <c r="I25" s="242"/>
      <c r="J25" s="242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6"/>
    </row>
    <row r="26" spans="3:31" x14ac:dyDescent="0.2">
      <c r="C26" s="25"/>
      <c r="D26" s="25"/>
      <c r="E26" s="25"/>
      <c r="F26" s="25"/>
      <c r="G26" s="25"/>
      <c r="H26" s="25"/>
      <c r="I26" s="246"/>
      <c r="J26" s="246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AB26" s="130"/>
      <c r="AC26" s="188"/>
      <c r="AD26" s="130"/>
      <c r="AE26" s="130"/>
    </row>
    <row r="27" spans="3:31" x14ac:dyDescent="0.2">
      <c r="C27" s="152" t="s">
        <v>78</v>
      </c>
      <c r="AB27" s="136">
        <v>2004</v>
      </c>
      <c r="AC27" s="138">
        <v>5932</v>
      </c>
      <c r="AD27" s="130"/>
      <c r="AE27" s="130"/>
    </row>
    <row r="28" spans="3:31" ht="12.75" customHeight="1" x14ac:dyDescent="0.2">
      <c r="C28" s="445" t="s">
        <v>185</v>
      </c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AB28" s="136"/>
      <c r="AC28" s="138"/>
      <c r="AD28" s="130"/>
      <c r="AE28" s="130"/>
    </row>
    <row r="29" spans="3:31" x14ac:dyDescent="0.2">
      <c r="C29" s="445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AB29" s="136"/>
      <c r="AC29" s="138"/>
      <c r="AD29" s="130"/>
      <c r="AE29" s="130"/>
    </row>
    <row r="30" spans="3:31" x14ac:dyDescent="0.2">
      <c r="C30" s="445"/>
      <c r="AB30" s="136">
        <v>2007</v>
      </c>
      <c r="AC30" s="138" t="e">
        <f>#REF!</f>
        <v>#REF!</v>
      </c>
      <c r="AD30" s="130"/>
      <c r="AE30" s="130"/>
    </row>
    <row r="31" spans="3:31" x14ac:dyDescent="0.2">
      <c r="C31" s="445"/>
      <c r="AB31" s="136">
        <v>2008</v>
      </c>
      <c r="AC31" s="138">
        <f>Q18</f>
        <v>9870</v>
      </c>
      <c r="AD31" s="130"/>
      <c r="AE31" s="130"/>
    </row>
    <row r="32" spans="3:31" x14ac:dyDescent="0.2">
      <c r="C32" s="445"/>
      <c r="AB32" s="136">
        <v>2009</v>
      </c>
      <c r="AC32" s="138">
        <f>R18</f>
        <v>9523</v>
      </c>
      <c r="AD32" s="130"/>
      <c r="AE32" s="130"/>
    </row>
    <row r="33" spans="3:31" x14ac:dyDescent="0.2">
      <c r="C33" s="445"/>
      <c r="AB33" s="136">
        <v>2010</v>
      </c>
      <c r="AC33" s="138">
        <f>S18</f>
        <v>9438</v>
      </c>
      <c r="AD33" s="130"/>
      <c r="AE33" s="130"/>
    </row>
    <row r="34" spans="3:31" x14ac:dyDescent="0.2">
      <c r="C34" s="368" t="s">
        <v>260</v>
      </c>
      <c r="AB34" s="136"/>
      <c r="AC34" s="138"/>
      <c r="AD34" s="130"/>
      <c r="AE34" s="130"/>
    </row>
    <row r="35" spans="3:31" x14ac:dyDescent="0.2">
      <c r="AB35" s="136">
        <v>2011</v>
      </c>
      <c r="AC35" s="139">
        <f>T18</f>
        <v>9258</v>
      </c>
      <c r="AD35" s="130"/>
      <c r="AE35" s="130"/>
    </row>
    <row r="36" spans="3:31" x14ac:dyDescent="0.2">
      <c r="AB36" s="136">
        <v>2012</v>
      </c>
      <c r="AC36" s="139">
        <f>U18</f>
        <v>10841</v>
      </c>
      <c r="AD36" s="130"/>
      <c r="AE36" s="130"/>
    </row>
    <row r="37" spans="3:31" x14ac:dyDescent="0.2">
      <c r="AB37" s="136">
        <v>2013</v>
      </c>
      <c r="AC37" s="142">
        <v>11379</v>
      </c>
      <c r="AD37" s="130"/>
      <c r="AE37" s="130"/>
    </row>
    <row r="38" spans="3:31" x14ac:dyDescent="0.2">
      <c r="AB38" s="136">
        <v>2014</v>
      </c>
      <c r="AC38" s="142">
        <v>11010</v>
      </c>
      <c r="AD38" s="130"/>
      <c r="AE38" s="130"/>
    </row>
    <row r="39" spans="3:31" x14ac:dyDescent="0.2">
      <c r="AB39" s="136">
        <v>2015</v>
      </c>
      <c r="AC39" s="142">
        <v>10940</v>
      </c>
      <c r="AD39" s="130"/>
      <c r="AE39" s="130"/>
    </row>
    <row r="40" spans="3:31" x14ac:dyDescent="0.2">
      <c r="AB40" s="136">
        <v>2016</v>
      </c>
      <c r="AC40" s="142">
        <v>10586</v>
      </c>
      <c r="AD40" s="130"/>
      <c r="AE40" s="130"/>
    </row>
    <row r="41" spans="3:31" x14ac:dyDescent="0.2">
      <c r="AB41" s="136">
        <v>2017</v>
      </c>
      <c r="AC41" s="142">
        <v>10559</v>
      </c>
      <c r="AD41" s="130"/>
      <c r="AE41" s="130"/>
    </row>
    <row r="42" spans="3:31" x14ac:dyDescent="0.2">
      <c r="AB42" s="136">
        <v>2018</v>
      </c>
      <c r="AC42" s="142">
        <v>10992</v>
      </c>
      <c r="AD42" s="130"/>
      <c r="AE42" s="130"/>
    </row>
    <row r="43" spans="3:31" x14ac:dyDescent="0.2">
      <c r="AB43" s="130"/>
      <c r="AC43" s="130"/>
      <c r="AD43" s="130"/>
      <c r="AE43" s="130"/>
    </row>
    <row r="44" spans="3:31" x14ac:dyDescent="0.2">
      <c r="AB44" s="130"/>
      <c r="AC44" s="130"/>
      <c r="AD44" s="130"/>
      <c r="AE44" s="130"/>
    </row>
    <row r="45" spans="3:31" x14ac:dyDescent="0.2">
      <c r="AB45" s="130"/>
      <c r="AC45" s="130"/>
      <c r="AD45" s="130"/>
      <c r="AE45" s="130"/>
    </row>
    <row r="46" spans="3:31" x14ac:dyDescent="0.2">
      <c r="AB46" s="130"/>
      <c r="AC46" s="130"/>
      <c r="AD46" s="130"/>
      <c r="AE46" s="130"/>
    </row>
    <row r="47" spans="3:31" x14ac:dyDescent="0.2">
      <c r="AB47" s="130"/>
      <c r="AC47" s="130"/>
      <c r="AD47" s="130"/>
      <c r="AE47" s="130"/>
    </row>
    <row r="48" spans="3:31" x14ac:dyDescent="0.2">
      <c r="AB48" s="130"/>
      <c r="AC48" s="130"/>
      <c r="AD48" s="130"/>
      <c r="AE48" s="130"/>
    </row>
    <row r="49" spans="2:31" x14ac:dyDescent="0.2">
      <c r="AB49" s="130"/>
      <c r="AC49" s="130"/>
      <c r="AD49" s="130"/>
      <c r="AE49" s="130"/>
    </row>
    <row r="50" spans="2:31" x14ac:dyDescent="0.2">
      <c r="AB50" s="130"/>
      <c r="AC50" s="130"/>
      <c r="AD50" s="130"/>
      <c r="AE50" s="130"/>
    </row>
    <row r="51" spans="2:31" x14ac:dyDescent="0.2">
      <c r="AB51" s="130"/>
      <c r="AC51" s="130"/>
      <c r="AD51" s="130"/>
      <c r="AE51" s="130"/>
    </row>
    <row r="52" spans="2:31" x14ac:dyDescent="0.2">
      <c r="C52" s="134" t="s">
        <v>110</v>
      </c>
    </row>
    <row r="58" spans="2:31" x14ac:dyDescent="0.2">
      <c r="C58" s="49"/>
      <c r="D58" s="49"/>
      <c r="E58" s="49"/>
      <c r="F58" s="49"/>
      <c r="G58" s="49"/>
      <c r="H58" s="49"/>
      <c r="I58" s="49"/>
      <c r="J58" s="49"/>
      <c r="K58" s="49"/>
      <c r="L58" s="48"/>
    </row>
    <row r="59" spans="2:31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2:31" ht="9" customHeight="1" x14ac:dyDescent="0.2"/>
    <row r="61" spans="2:31" x14ac:dyDescent="0.2">
      <c r="B61" s="398">
        <f>'.10 delete'!B74+1</f>
        <v>2</v>
      </c>
      <c r="C61" s="398"/>
      <c r="D61" s="398"/>
      <c r="E61" s="398"/>
      <c r="F61" s="398"/>
      <c r="G61" s="398"/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206"/>
    </row>
  </sheetData>
  <mergeCells count="4">
    <mergeCell ref="L4:U4"/>
    <mergeCell ref="B61:U61"/>
    <mergeCell ref="C7:Z7"/>
    <mergeCell ref="C28:C33"/>
  </mergeCells>
  <phoneticPr fontId="7" type="noConversion"/>
  <pageMargins left="0.48" right="0.75" top="1" bottom="1" header="0.5" footer="0.5"/>
  <pageSetup scale="78" orientation="portrait" r:id="rId1"/>
  <headerFooter alignWithMargins="0"/>
  <ignoredErrors>
    <ignoredError sqref="AC30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28673" r:id="rId4">
          <objectPr defaultSize="0" autoPict="0" r:id="rId5">
            <anchor moveWithCells="1" sizeWithCells="1">
              <from>
                <xdr:col>0</xdr:col>
                <xdr:colOff>285750</xdr:colOff>
                <xdr:row>0</xdr:row>
                <xdr:rowOff>38100</xdr:rowOff>
              </from>
              <to>
                <xdr:col>2</xdr:col>
                <xdr:colOff>495300</xdr:colOff>
                <xdr:row>3</xdr:row>
                <xdr:rowOff>104775</xdr:rowOff>
              </to>
            </anchor>
          </objectPr>
        </oleObject>
      </mc:Choice>
      <mc:Fallback>
        <oleObject progId="MSPhotoEd.3" shapeId="28673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R56"/>
  <sheetViews>
    <sheetView topLeftCell="A19" zoomScaleNormal="100" zoomScaleSheetLayoutView="100" workbookViewId="0">
      <selection activeCell="AE24" sqref="AE24"/>
    </sheetView>
  </sheetViews>
  <sheetFormatPr defaultColWidth="9.140625" defaultRowHeight="12.75" x14ac:dyDescent="0.2"/>
  <cols>
    <col min="1" max="2" width="1.7109375" style="17" customWidth="1"/>
    <col min="3" max="3" width="8.5703125" style="17" customWidth="1"/>
    <col min="4" max="4" width="25.85546875" style="17" customWidth="1"/>
    <col min="5" max="5" width="7.85546875" style="17" hidden="1" customWidth="1"/>
    <col min="6" max="6" width="7" style="17" hidden="1" customWidth="1"/>
    <col min="7" max="7" width="6.85546875" style="17" hidden="1" customWidth="1"/>
    <col min="8" max="8" width="6.7109375" style="17" hidden="1" customWidth="1"/>
    <col min="9" max="9" width="7.5703125" style="17" hidden="1" customWidth="1"/>
    <col min="10" max="10" width="7.85546875" style="17" hidden="1" customWidth="1"/>
    <col min="11" max="11" width="7.7109375" style="17" hidden="1" customWidth="1"/>
    <col min="12" max="12" width="8" style="17" hidden="1" customWidth="1"/>
    <col min="13" max="13" width="7.42578125" style="17" hidden="1" customWidth="1"/>
    <col min="14" max="14" width="8" style="17" hidden="1" customWidth="1"/>
    <col min="15" max="15" width="7.5703125" style="17" hidden="1" customWidth="1"/>
    <col min="16" max="16" width="9.42578125" style="17" hidden="1" customWidth="1"/>
    <col min="17" max="20" width="10.7109375" style="17" hidden="1" customWidth="1"/>
    <col min="21" max="23" width="10.7109375" style="17" customWidth="1"/>
    <col min="24" max="24" width="8.5703125" style="17" customWidth="1"/>
    <col min="25" max="28" width="9.140625" style="17"/>
    <col min="29" max="30" width="9.140625" style="128"/>
    <col min="31" max="31" width="11" style="128" customWidth="1"/>
    <col min="32" max="43" width="9.140625" style="128"/>
    <col min="44" max="16384" width="9.140625" style="17"/>
  </cols>
  <sheetData>
    <row r="2" spans="3:44" x14ac:dyDescent="0.2">
      <c r="Y2" s="144" t="s">
        <v>253</v>
      </c>
    </row>
    <row r="4" spans="3:44" ht="15" x14ac:dyDescent="0.25"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208"/>
    </row>
    <row r="5" spans="3:44" ht="15.75" x14ac:dyDescent="0.25"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  <c r="AK5" s="399"/>
      <c r="AL5" s="399"/>
      <c r="AM5" s="399"/>
      <c r="AN5" s="399"/>
      <c r="AO5" s="399"/>
      <c r="AP5" s="399"/>
    </row>
    <row r="7" spans="3:44" ht="15.75" x14ac:dyDescent="0.25">
      <c r="C7" s="150">
        <v>12.12</v>
      </c>
      <c r="D7" s="399" t="s">
        <v>256</v>
      </c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</row>
    <row r="8" spans="3:44" ht="12.75" customHeight="1" x14ac:dyDescent="0.25">
      <c r="C8" s="164"/>
      <c r="D8" s="182"/>
      <c r="E8" s="183"/>
      <c r="F8" s="183"/>
      <c r="G8" s="183"/>
      <c r="H8" s="183"/>
      <c r="I8" s="183"/>
      <c r="J8" s="183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</row>
    <row r="9" spans="3:44" ht="12.75" customHeight="1" x14ac:dyDescent="0.25">
      <c r="C9" s="164"/>
      <c r="D9" s="182"/>
      <c r="E9" s="183"/>
      <c r="F9" s="183"/>
      <c r="G9" s="31"/>
      <c r="H9" s="183"/>
      <c r="I9" s="183"/>
      <c r="J9" s="183"/>
      <c r="K9" s="31"/>
      <c r="L9" s="31"/>
      <c r="M9" s="31"/>
      <c r="N9" s="31"/>
      <c r="O9" s="31"/>
      <c r="P9" s="31"/>
      <c r="Q9" s="180"/>
      <c r="R9" s="180"/>
      <c r="S9" s="180"/>
      <c r="T9" s="181"/>
      <c r="U9" s="181"/>
      <c r="V9" s="181"/>
      <c r="W9" s="369"/>
      <c r="X9" s="369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</row>
    <row r="10" spans="3:44" ht="15.75" x14ac:dyDescent="0.25">
      <c r="C10" s="164"/>
      <c r="D10" s="272" t="s">
        <v>96</v>
      </c>
      <c r="E10" s="219"/>
      <c r="F10" s="219"/>
      <c r="G10" s="219"/>
      <c r="H10" s="20"/>
      <c r="I10" s="20"/>
      <c r="J10" s="20">
        <f>I10+1</f>
        <v>1</v>
      </c>
      <c r="K10" s="219">
        <v>2000</v>
      </c>
      <c r="L10" s="20">
        <v>2001</v>
      </c>
      <c r="M10" s="20">
        <v>2002</v>
      </c>
      <c r="N10" s="20">
        <v>2003</v>
      </c>
      <c r="O10" s="20">
        <v>2004</v>
      </c>
      <c r="P10" s="20">
        <v>2005</v>
      </c>
      <c r="Q10" s="20">
        <v>2006</v>
      </c>
      <c r="R10" s="20">
        <v>2008</v>
      </c>
      <c r="S10" s="20">
        <v>2009</v>
      </c>
      <c r="T10" s="359">
        <v>2010</v>
      </c>
      <c r="U10" s="359">
        <v>2011</v>
      </c>
      <c r="V10" s="359">
        <v>2012</v>
      </c>
      <c r="W10" s="20">
        <v>2013</v>
      </c>
      <c r="X10" s="20">
        <v>2014</v>
      </c>
      <c r="Y10" s="20">
        <v>2015</v>
      </c>
      <c r="Z10" s="20">
        <v>2016</v>
      </c>
      <c r="AA10" s="20">
        <v>2017</v>
      </c>
      <c r="AB10" s="20">
        <v>2018</v>
      </c>
      <c r="AC10" s="20">
        <v>2019</v>
      </c>
      <c r="AD10" s="20">
        <v>2020</v>
      </c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</row>
    <row r="11" spans="3:44" ht="12.75" customHeight="1" x14ac:dyDescent="0.25">
      <c r="C11" s="164"/>
      <c r="D11" s="362" t="s">
        <v>28</v>
      </c>
      <c r="E11" s="370">
        <v>46</v>
      </c>
      <c r="F11" s="370">
        <v>56</v>
      </c>
      <c r="G11" s="370">
        <v>64</v>
      </c>
      <c r="H11" s="370">
        <v>69</v>
      </c>
      <c r="I11" s="370">
        <v>72</v>
      </c>
      <c r="J11" s="370">
        <v>73</v>
      </c>
      <c r="K11" s="370">
        <v>77</v>
      </c>
      <c r="L11" s="370">
        <v>83</v>
      </c>
      <c r="M11" s="370">
        <v>85</v>
      </c>
      <c r="N11" s="370">
        <v>82</v>
      </c>
      <c r="O11" s="370">
        <v>83</v>
      </c>
      <c r="P11" s="370"/>
      <c r="Q11" s="371">
        <f t="shared" ref="Q11:S11" si="0">SUM(Q12:Q17)</f>
        <v>1225</v>
      </c>
      <c r="R11" s="371">
        <f t="shared" si="0"/>
        <v>1579</v>
      </c>
      <c r="S11" s="371">
        <f t="shared" si="0"/>
        <v>1312</v>
      </c>
      <c r="T11" s="371">
        <f>SUM(T12:T18)</f>
        <v>1113</v>
      </c>
      <c r="U11" s="371">
        <f t="shared" ref="U11:AD11" si="1">SUM(U12:U18)</f>
        <v>1156</v>
      </c>
      <c r="V11" s="371">
        <f t="shared" si="1"/>
        <v>1157</v>
      </c>
      <c r="W11" s="371">
        <f t="shared" si="1"/>
        <v>1116</v>
      </c>
      <c r="X11" s="371">
        <f t="shared" si="1"/>
        <v>1066</v>
      </c>
      <c r="Y11" s="371">
        <f t="shared" si="1"/>
        <v>1048</v>
      </c>
      <c r="Z11" s="371">
        <f t="shared" si="1"/>
        <v>1022</v>
      </c>
      <c r="AA11" s="371">
        <f t="shared" si="1"/>
        <v>1238</v>
      </c>
      <c r="AB11" s="371">
        <f t="shared" si="1"/>
        <v>1699</v>
      </c>
      <c r="AC11" s="371">
        <f t="shared" si="1"/>
        <v>2078</v>
      </c>
      <c r="AD11" s="371">
        <f t="shared" si="1"/>
        <v>2336</v>
      </c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>
        <v>4932.3999999999996</v>
      </c>
      <c r="AR11" s="136"/>
    </row>
    <row r="12" spans="3:44" ht="12.75" customHeight="1" x14ac:dyDescent="0.2">
      <c r="D12" s="31" t="s">
        <v>94</v>
      </c>
      <c r="E12" s="303" t="e">
        <f>SUM(#REF!)</f>
        <v>#REF!</v>
      </c>
      <c r="F12" s="303" t="e">
        <f>SUM(#REF!)</f>
        <v>#REF!</v>
      </c>
      <c r="G12" s="303" t="e">
        <f>SUM(#REF!)</f>
        <v>#REF!</v>
      </c>
      <c r="H12" s="303" t="e">
        <f>SUM(#REF!)</f>
        <v>#REF!</v>
      </c>
      <c r="I12" s="303" t="e">
        <f>SUM(#REF!)</f>
        <v>#REF!</v>
      </c>
      <c r="J12" s="303" t="e">
        <f>SUM(#REF!)</f>
        <v>#REF!</v>
      </c>
      <c r="K12" s="303" t="e">
        <f>SUM(#REF!)</f>
        <v>#REF!</v>
      </c>
      <c r="L12" s="303" t="e">
        <f>SUM(#REF!)</f>
        <v>#REF!</v>
      </c>
      <c r="M12" s="303" t="e">
        <f>SUM(#REF!)</f>
        <v>#REF!</v>
      </c>
      <c r="N12" s="303" t="e">
        <f>SUM(#REF!)</f>
        <v>#REF!</v>
      </c>
      <c r="O12" s="303" t="e">
        <f>SUM(#REF!)</f>
        <v>#REF!</v>
      </c>
      <c r="P12" s="303"/>
      <c r="Q12" s="31">
        <v>909</v>
      </c>
      <c r="R12" s="31">
        <v>793</v>
      </c>
      <c r="S12" s="31">
        <v>546</v>
      </c>
      <c r="T12" s="372">
        <v>322</v>
      </c>
      <c r="U12" s="373">
        <v>347</v>
      </c>
      <c r="V12" s="373">
        <v>343</v>
      </c>
      <c r="W12" s="373">
        <v>320</v>
      </c>
      <c r="X12" s="373">
        <v>279</v>
      </c>
      <c r="Y12" s="373">
        <v>246</v>
      </c>
      <c r="Z12" s="373">
        <v>260</v>
      </c>
      <c r="AA12" s="373">
        <v>216</v>
      </c>
      <c r="AB12" s="373">
        <v>224</v>
      </c>
      <c r="AC12" s="373">
        <v>194</v>
      </c>
      <c r="AD12" s="373">
        <v>123</v>
      </c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>
        <v>100.2</v>
      </c>
      <c r="AR12" s="136"/>
    </row>
    <row r="13" spans="3:44" ht="12.75" customHeight="1" x14ac:dyDescent="0.2">
      <c r="D13" s="31" t="s">
        <v>254</v>
      </c>
      <c r="E13" s="156"/>
      <c r="F13" s="156"/>
      <c r="G13" s="156"/>
      <c r="H13" s="156"/>
      <c r="I13" s="156"/>
      <c r="J13" s="156"/>
      <c r="K13" s="156"/>
      <c r="L13" s="374"/>
      <c r="M13" s="374"/>
      <c r="N13" s="31"/>
      <c r="O13" s="31"/>
      <c r="P13" s="31"/>
      <c r="Q13" s="31">
        <v>302</v>
      </c>
      <c r="R13" s="31">
        <v>721</v>
      </c>
      <c r="S13" s="31">
        <v>693</v>
      </c>
      <c r="T13" s="372">
        <v>712</v>
      </c>
      <c r="U13" s="373">
        <v>702</v>
      </c>
      <c r="V13" s="373">
        <v>600</v>
      </c>
      <c r="W13" s="373">
        <v>587</v>
      </c>
      <c r="X13" s="373">
        <v>562</v>
      </c>
      <c r="Y13" s="373">
        <v>564</v>
      </c>
      <c r="Z13" s="373">
        <v>489</v>
      </c>
      <c r="AA13" s="373">
        <v>702</v>
      </c>
      <c r="AB13" s="373">
        <v>1128</v>
      </c>
      <c r="AC13" s="373">
        <v>1547</v>
      </c>
      <c r="AD13" s="373">
        <v>1879</v>
      </c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>
        <v>2181.5</v>
      </c>
      <c r="AR13" s="136"/>
    </row>
    <row r="14" spans="3:44" ht="12.75" customHeight="1" x14ac:dyDescent="0.2">
      <c r="D14" s="31" t="s">
        <v>187</v>
      </c>
      <c r="E14" s="156"/>
      <c r="F14" s="156"/>
      <c r="G14" s="156"/>
      <c r="H14" s="156"/>
      <c r="I14" s="156"/>
      <c r="J14" s="156"/>
      <c r="K14" s="156"/>
      <c r="L14" s="374"/>
      <c r="M14" s="374"/>
      <c r="N14" s="31"/>
      <c r="O14" s="31"/>
      <c r="P14" s="31"/>
      <c r="Q14" s="31">
        <v>9</v>
      </c>
      <c r="R14" s="31">
        <v>60</v>
      </c>
      <c r="S14" s="31">
        <v>68</v>
      </c>
      <c r="T14" s="372">
        <v>74</v>
      </c>
      <c r="U14" s="373"/>
      <c r="V14" s="373">
        <v>91</v>
      </c>
      <c r="W14" s="373">
        <v>82</v>
      </c>
      <c r="X14" s="373">
        <v>67</v>
      </c>
      <c r="Y14" s="373">
        <v>43</v>
      </c>
      <c r="Z14" s="373">
        <v>34</v>
      </c>
      <c r="AA14" s="373">
        <v>42</v>
      </c>
      <c r="AB14" s="373">
        <v>47</v>
      </c>
      <c r="AC14" s="373">
        <v>41</v>
      </c>
      <c r="AD14" s="373">
        <v>37</v>
      </c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>
        <v>2650.7</v>
      </c>
      <c r="AR14" s="136"/>
    </row>
    <row r="15" spans="3:44" ht="12.75" customHeight="1" x14ac:dyDescent="0.2">
      <c r="D15" s="31" t="s">
        <v>255</v>
      </c>
      <c r="E15" s="156"/>
      <c r="F15" s="156"/>
      <c r="G15" s="156"/>
      <c r="H15" s="156"/>
      <c r="I15" s="156"/>
      <c r="J15" s="156"/>
      <c r="K15" s="156"/>
      <c r="L15" s="374"/>
      <c r="M15" s="374"/>
      <c r="N15" s="31"/>
      <c r="O15" s="31"/>
      <c r="P15" s="31"/>
      <c r="Q15" s="31"/>
      <c r="R15" s="31"/>
      <c r="S15" s="31"/>
      <c r="T15" s="375" t="s">
        <v>188</v>
      </c>
      <c r="U15" s="375">
        <v>101</v>
      </c>
      <c r="V15" s="373">
        <v>117</v>
      </c>
      <c r="W15" s="373">
        <v>121</v>
      </c>
      <c r="X15" s="373">
        <v>150</v>
      </c>
      <c r="Y15" s="373">
        <v>186</v>
      </c>
      <c r="Z15" s="373">
        <v>234</v>
      </c>
      <c r="AA15" s="373">
        <v>272</v>
      </c>
      <c r="AB15" s="373">
        <v>293</v>
      </c>
      <c r="AC15" s="373">
        <v>289</v>
      </c>
      <c r="AD15" s="373">
        <v>291</v>
      </c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>
        <v>2971.2</v>
      </c>
      <c r="AR15" s="136"/>
    </row>
    <row r="16" spans="3:44" ht="12.75" customHeight="1" x14ac:dyDescent="0.2">
      <c r="D16" s="31" t="s">
        <v>232</v>
      </c>
      <c r="E16" s="156"/>
      <c r="F16" s="156"/>
      <c r="G16" s="156"/>
      <c r="H16" s="156"/>
      <c r="I16" s="156"/>
      <c r="J16" s="156"/>
      <c r="K16" s="156"/>
      <c r="L16" s="374"/>
      <c r="M16" s="374"/>
      <c r="N16" s="31"/>
      <c r="O16" s="31"/>
      <c r="P16" s="31"/>
      <c r="Q16" s="31">
        <v>4</v>
      </c>
      <c r="R16" s="31">
        <v>3</v>
      </c>
      <c r="S16" s="31">
        <v>2</v>
      </c>
      <c r="T16" s="372">
        <v>2</v>
      </c>
      <c r="U16" s="373">
        <v>4</v>
      </c>
      <c r="V16" s="373">
        <v>4</v>
      </c>
      <c r="W16" s="373">
        <v>4</v>
      </c>
      <c r="X16" s="373">
        <v>6</v>
      </c>
      <c r="Y16" s="373">
        <v>6</v>
      </c>
      <c r="Z16" s="373">
        <v>3</v>
      </c>
      <c r="AA16" s="373">
        <v>4</v>
      </c>
      <c r="AB16" s="373">
        <v>4</v>
      </c>
      <c r="AC16" s="373">
        <v>4</v>
      </c>
      <c r="AD16" s="373">
        <v>4</v>
      </c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>
        <v>243.6</v>
      </c>
      <c r="AR16" s="136"/>
    </row>
    <row r="17" spans="4:44" ht="12.75" customHeight="1" x14ac:dyDescent="0.2">
      <c r="D17" s="31" t="s">
        <v>95</v>
      </c>
      <c r="E17" s="370">
        <v>7</v>
      </c>
      <c r="F17" s="370">
        <v>16</v>
      </c>
      <c r="G17" s="370">
        <v>20</v>
      </c>
      <c r="H17" s="370">
        <v>19</v>
      </c>
      <c r="I17" s="370">
        <v>20</v>
      </c>
      <c r="J17" s="370">
        <v>20</v>
      </c>
      <c r="K17" s="370">
        <v>19</v>
      </c>
      <c r="L17" s="370">
        <v>16</v>
      </c>
      <c r="M17" s="370">
        <v>13</v>
      </c>
      <c r="N17" s="370">
        <v>10</v>
      </c>
      <c r="O17" s="370">
        <v>7</v>
      </c>
      <c r="P17" s="370"/>
      <c r="Q17" s="155">
        <v>1</v>
      </c>
      <c r="R17" s="155">
        <v>2</v>
      </c>
      <c r="S17" s="155">
        <v>3</v>
      </c>
      <c r="T17" s="372">
        <v>3</v>
      </c>
      <c r="U17" s="372">
        <v>2</v>
      </c>
      <c r="V17" s="372">
        <v>2</v>
      </c>
      <c r="W17" s="372">
        <v>2</v>
      </c>
      <c r="X17" s="372">
        <v>2</v>
      </c>
      <c r="Y17" s="372">
        <v>1</v>
      </c>
      <c r="Z17" s="372">
        <v>1</v>
      </c>
      <c r="AA17" s="372">
        <v>1</v>
      </c>
      <c r="AB17" s="372">
        <v>1</v>
      </c>
      <c r="AC17" s="372">
        <v>1</v>
      </c>
      <c r="AD17" s="372">
        <v>1</v>
      </c>
      <c r="AE17" s="137"/>
      <c r="AF17" s="137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>
        <v>70.099999999999994</v>
      </c>
      <c r="AR17" s="136"/>
    </row>
    <row r="18" spans="4:44" ht="12.75" customHeight="1" x14ac:dyDescent="0.2">
      <c r="D18" s="270" t="s">
        <v>231</v>
      </c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270"/>
      <c r="R18" s="270"/>
      <c r="S18" s="270"/>
      <c r="T18" s="377"/>
      <c r="U18" s="378" t="s">
        <v>51</v>
      </c>
      <c r="V18" s="378" t="s">
        <v>51</v>
      </c>
      <c r="W18" s="379" t="s">
        <v>51</v>
      </c>
      <c r="X18" s="379" t="s">
        <v>51</v>
      </c>
      <c r="Y18" s="377">
        <v>2</v>
      </c>
      <c r="Z18" s="377">
        <v>1</v>
      </c>
      <c r="AA18" s="377">
        <v>1</v>
      </c>
      <c r="AB18" s="377">
        <v>2</v>
      </c>
      <c r="AC18" s="377">
        <v>2</v>
      </c>
      <c r="AD18" s="377">
        <v>1</v>
      </c>
      <c r="AE18" s="137"/>
      <c r="AF18" s="137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</row>
    <row r="19" spans="4:44" ht="12.75" customHeight="1" x14ac:dyDescent="0.2">
      <c r="D19" s="380"/>
      <c r="AC19" s="136"/>
      <c r="AD19" s="136"/>
      <c r="AE19" s="138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>
        <v>2657.5</v>
      </c>
      <c r="AR19" s="136"/>
    </row>
    <row r="20" spans="4:44" x14ac:dyDescent="0.2">
      <c r="D20" s="381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1"/>
      <c r="S20" s="371"/>
      <c r="T20" s="371"/>
      <c r="U20" s="371"/>
      <c r="V20" s="371"/>
      <c r="W20" s="382"/>
      <c r="X20" s="382"/>
      <c r="AC20" s="136"/>
      <c r="AD20" s="136"/>
      <c r="AE20" s="138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>
        <v>-320.5</v>
      </c>
      <c r="AR20" s="136"/>
    </row>
    <row r="21" spans="4:44" x14ac:dyDescent="0.2"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AC21" s="136"/>
      <c r="AD21" s="136"/>
      <c r="AE21" s="138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</row>
    <row r="22" spans="4:44" ht="15" customHeight="1" x14ac:dyDescent="0.2"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AC22" s="136"/>
      <c r="AD22" s="136"/>
      <c r="AE22" s="138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>
        <v>4932.3999999999996</v>
      </c>
      <c r="AR22" s="136"/>
    </row>
    <row r="23" spans="4:44" ht="15" customHeight="1" x14ac:dyDescent="0.2">
      <c r="AC23" s="136"/>
      <c r="AD23" s="136"/>
      <c r="AE23" s="138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>
        <v>1209.0999999999999</v>
      </c>
      <c r="AR23" s="136"/>
    </row>
    <row r="24" spans="4:44" ht="15" customHeight="1" x14ac:dyDescent="0.2">
      <c r="AC24" s="136"/>
      <c r="AD24" s="136"/>
      <c r="AE24" s="138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>
        <v>95.5</v>
      </c>
      <c r="AR24" s="136"/>
    </row>
    <row r="25" spans="4:44" ht="15" customHeight="1" x14ac:dyDescent="0.2">
      <c r="AC25" s="136"/>
      <c r="AD25" s="136"/>
      <c r="AE25" s="138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>
        <v>1113.5999999999999</v>
      </c>
      <c r="AR25" s="136"/>
    </row>
    <row r="26" spans="4:44" x14ac:dyDescent="0.2">
      <c r="AC26" s="136"/>
      <c r="AD26" s="136"/>
      <c r="AE26" s="138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>
        <v>460.6</v>
      </c>
      <c r="AR26" s="136"/>
    </row>
    <row r="27" spans="4:44" x14ac:dyDescent="0.2">
      <c r="Y27" s="383" t="s">
        <v>26</v>
      </c>
      <c r="AC27" s="136"/>
      <c r="AD27" s="136"/>
      <c r="AE27" s="138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>
        <v>653</v>
      </c>
      <c r="AR27" s="136"/>
    </row>
    <row r="28" spans="4:44" x14ac:dyDescent="0.2">
      <c r="AC28" s="136"/>
      <c r="AD28" s="136"/>
      <c r="AE28" s="138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>
        <v>3723.3</v>
      </c>
      <c r="AR28" s="136"/>
    </row>
    <row r="29" spans="4:44" x14ac:dyDescent="0.2">
      <c r="AC29" s="136"/>
      <c r="AD29" s="136"/>
      <c r="AE29" s="138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>
        <v>3382</v>
      </c>
      <c r="AR29" s="136"/>
    </row>
    <row r="30" spans="4:44" x14ac:dyDescent="0.2">
      <c r="AC30" s="136"/>
      <c r="AD30" s="136"/>
      <c r="AE30" s="138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</row>
    <row r="31" spans="4:44" x14ac:dyDescent="0.2">
      <c r="AC31" s="136"/>
      <c r="AD31" s="136"/>
      <c r="AE31" s="138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</row>
    <row r="32" spans="4:44" ht="16.5" x14ac:dyDescent="0.3">
      <c r="D32" s="38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385"/>
      <c r="R32" s="385"/>
      <c r="S32" s="385"/>
      <c r="T32" s="385"/>
      <c r="U32" s="385"/>
      <c r="V32" s="385"/>
      <c r="W32" s="386"/>
      <c r="X32" s="386"/>
      <c r="AC32" s="136"/>
      <c r="AD32" s="136"/>
      <c r="AE32" s="138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</row>
    <row r="33" spans="3:44" x14ac:dyDescent="0.2">
      <c r="AC33" s="136"/>
      <c r="AD33" s="136"/>
      <c r="AE33" s="138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</row>
    <row r="34" spans="3:44" x14ac:dyDescent="0.2">
      <c r="AC34" s="136"/>
      <c r="AD34" s="136"/>
      <c r="AE34" s="138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</row>
    <row r="35" spans="3:44" x14ac:dyDescent="0.2">
      <c r="AC35" s="136"/>
      <c r="AD35" s="130"/>
      <c r="AE35" s="188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3:44" x14ac:dyDescent="0.2">
      <c r="D36" s="25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25"/>
      <c r="W36" s="25"/>
      <c r="X36" s="25"/>
      <c r="AC36" s="136"/>
      <c r="AD36" s="130"/>
      <c r="AE36" s="184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3:44" x14ac:dyDescent="0.2">
      <c r="AC37" s="137" t="s">
        <v>93</v>
      </c>
      <c r="AD37" s="130"/>
      <c r="AE37" s="140">
        <v>2005</v>
      </c>
      <c r="AF37" s="140">
        <v>2006</v>
      </c>
      <c r="AG37" s="140">
        <v>2007</v>
      </c>
      <c r="AH37" s="140">
        <v>2008</v>
      </c>
      <c r="AI37" s="140">
        <v>2009</v>
      </c>
      <c r="AJ37" s="140">
        <v>2010</v>
      </c>
      <c r="AK37" s="140">
        <v>2011</v>
      </c>
      <c r="AL37" s="140">
        <v>2012</v>
      </c>
      <c r="AM37" s="140">
        <v>2013</v>
      </c>
      <c r="AN37" s="140">
        <v>2014</v>
      </c>
      <c r="AO37" s="140">
        <v>2015</v>
      </c>
      <c r="AP37" s="140">
        <v>2016</v>
      </c>
      <c r="AQ37" s="140">
        <v>2017</v>
      </c>
      <c r="AR37" s="189">
        <v>2018</v>
      </c>
    </row>
    <row r="38" spans="3:44" x14ac:dyDescent="0.2">
      <c r="AC38" s="136"/>
      <c r="AD38" s="130"/>
      <c r="AE38" s="140"/>
      <c r="AF38" s="140"/>
      <c r="AG38" s="140"/>
      <c r="AH38" s="140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</row>
    <row r="39" spans="3:44" x14ac:dyDescent="0.2">
      <c r="AC39" s="136"/>
      <c r="AD39" s="130"/>
      <c r="AE39" s="141">
        <v>1015</v>
      </c>
      <c r="AF39" s="141">
        <v>1225</v>
      </c>
      <c r="AG39" s="141">
        <v>1748</v>
      </c>
      <c r="AH39" s="141">
        <f>R11</f>
        <v>1579</v>
      </c>
      <c r="AI39" s="141">
        <f>S11</f>
        <v>1312</v>
      </c>
      <c r="AJ39" s="141">
        <f>T11</f>
        <v>1113</v>
      </c>
      <c r="AK39" s="142">
        <f>U11</f>
        <v>1156</v>
      </c>
      <c r="AL39" s="142">
        <f>V11</f>
        <v>1157</v>
      </c>
      <c r="AM39" s="142">
        <v>1116</v>
      </c>
      <c r="AN39" s="142">
        <v>1066</v>
      </c>
      <c r="AO39" s="142">
        <v>1048</v>
      </c>
      <c r="AP39" s="142">
        <v>1022</v>
      </c>
      <c r="AQ39" s="142">
        <v>1238</v>
      </c>
      <c r="AR39" s="142">
        <v>1699</v>
      </c>
    </row>
    <row r="40" spans="3:44" ht="15.75" x14ac:dyDescent="0.25">
      <c r="C40" s="387">
        <v>12.13</v>
      </c>
      <c r="D40" s="446" t="s">
        <v>257</v>
      </c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136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3:44" ht="15.75" x14ac:dyDescent="0.25">
      <c r="C41" s="38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AC41" s="136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3:44" ht="15.75" x14ac:dyDescent="0.25">
      <c r="C42" s="387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9"/>
      <c r="U42" s="389"/>
      <c r="X42" s="390"/>
      <c r="AD42" s="390" t="s">
        <v>178</v>
      </c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</row>
    <row r="43" spans="3:44" x14ac:dyDescent="0.2">
      <c r="D43" s="272" t="s">
        <v>96</v>
      </c>
      <c r="E43" s="219">
        <v>1994</v>
      </c>
      <c r="F43" s="219">
        <f>E43+1</f>
        <v>1995</v>
      </c>
      <c r="G43" s="219">
        <f>F43+1</f>
        <v>1996</v>
      </c>
      <c r="H43" s="20">
        <f>G43+1</f>
        <v>1997</v>
      </c>
      <c r="I43" s="20">
        <f>H43+1</f>
        <v>1998</v>
      </c>
      <c r="J43" s="20">
        <f>I43+1</f>
        <v>1999</v>
      </c>
      <c r="K43" s="219">
        <v>2000</v>
      </c>
      <c r="L43" s="20">
        <v>2001</v>
      </c>
      <c r="M43" s="20">
        <v>2002</v>
      </c>
      <c r="N43" s="20">
        <v>2003</v>
      </c>
      <c r="O43" s="20">
        <v>2004</v>
      </c>
      <c r="P43" s="20">
        <v>2005</v>
      </c>
      <c r="Q43" s="20">
        <v>2006</v>
      </c>
      <c r="R43" s="20">
        <v>2008</v>
      </c>
      <c r="S43" s="20">
        <v>2009</v>
      </c>
      <c r="T43" s="359">
        <v>2010</v>
      </c>
      <c r="U43" s="359">
        <v>2011</v>
      </c>
      <c r="V43" s="20">
        <v>2012</v>
      </c>
      <c r="W43" s="20">
        <v>2013</v>
      </c>
      <c r="X43" s="20">
        <v>2014</v>
      </c>
      <c r="Y43" s="20">
        <v>2015</v>
      </c>
      <c r="Z43" s="20">
        <v>2016</v>
      </c>
      <c r="AA43" s="20">
        <v>2017</v>
      </c>
      <c r="AB43" s="20">
        <v>2018</v>
      </c>
      <c r="AC43" s="20">
        <v>2019</v>
      </c>
      <c r="AD43" s="20">
        <v>2020</v>
      </c>
      <c r="AE43" s="130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</row>
    <row r="44" spans="3:44" x14ac:dyDescent="0.2">
      <c r="D44" s="391" t="s">
        <v>28</v>
      </c>
      <c r="E44" s="279"/>
      <c r="F44" s="279"/>
      <c r="G44" s="279"/>
      <c r="H44" s="151"/>
      <c r="I44" s="151"/>
      <c r="J44" s="151"/>
      <c r="K44" s="279"/>
      <c r="L44" s="151"/>
      <c r="M44" s="151"/>
      <c r="N44" s="151"/>
      <c r="O44" s="151"/>
      <c r="P44" s="151"/>
      <c r="Q44" s="151"/>
      <c r="R44" s="151"/>
      <c r="S44" s="151"/>
      <c r="T44" s="382">
        <f>SUM(T45:T51)</f>
        <v>145.64600000000002</v>
      </c>
      <c r="U44" s="382">
        <f>SUM(U45:U51)</f>
        <v>143.80000000000001</v>
      </c>
      <c r="V44" s="382">
        <f t="shared" ref="V44:AD44" si="2">SUM(V45:V51)</f>
        <v>166.5</v>
      </c>
      <c r="W44" s="382">
        <f t="shared" si="2"/>
        <v>172.6</v>
      </c>
      <c r="X44" s="382">
        <f t="shared" si="2"/>
        <v>169.26399999999998</v>
      </c>
      <c r="Y44" s="382">
        <f t="shared" si="2"/>
        <v>195.31866111899998</v>
      </c>
      <c r="Z44" s="382">
        <f t="shared" si="2"/>
        <v>195.60342136200003</v>
      </c>
      <c r="AA44" s="382">
        <f t="shared" si="2"/>
        <v>241.41762604500002</v>
      </c>
      <c r="AB44" s="382">
        <f t="shared" si="2"/>
        <v>310.203225476</v>
      </c>
      <c r="AC44" s="382">
        <f t="shared" si="2"/>
        <v>426.99599389299993</v>
      </c>
      <c r="AD44" s="382">
        <f t="shared" si="2"/>
        <v>458.845339518</v>
      </c>
    </row>
    <row r="45" spans="3:44" x14ac:dyDescent="0.2">
      <c r="D45" s="31" t="s">
        <v>94</v>
      </c>
      <c r="E45" s="156"/>
      <c r="F45" s="156"/>
      <c r="G45" s="156"/>
      <c r="H45" s="156"/>
      <c r="I45" s="156"/>
      <c r="J45" s="156"/>
      <c r="K45" s="156"/>
      <c r="L45" s="156"/>
      <c r="M45" s="156"/>
      <c r="N45" s="31"/>
      <c r="O45" s="31"/>
      <c r="P45" s="31"/>
      <c r="Q45" s="392">
        <v>81.044359244000006</v>
      </c>
      <c r="R45" s="393">
        <v>60.494533752000002</v>
      </c>
      <c r="S45" s="393">
        <v>53.695</v>
      </c>
      <c r="T45" s="393">
        <v>32.1</v>
      </c>
      <c r="U45" s="393">
        <v>23</v>
      </c>
      <c r="V45" s="393">
        <v>14.5</v>
      </c>
      <c r="W45" s="393">
        <v>11.3</v>
      </c>
      <c r="X45" s="393">
        <v>9.4060000000000006</v>
      </c>
      <c r="Y45" s="393">
        <v>9.9726600730000001</v>
      </c>
      <c r="Z45" s="393">
        <v>9.0761193819999999</v>
      </c>
      <c r="AA45" s="393">
        <v>10.983023249</v>
      </c>
      <c r="AB45" s="393">
        <v>11.520621563000001</v>
      </c>
      <c r="AC45" s="393">
        <v>11.427122652</v>
      </c>
      <c r="AD45" s="393">
        <v>12.238190542</v>
      </c>
    </row>
    <row r="46" spans="3:44" x14ac:dyDescent="0.2">
      <c r="D46" s="31" t="s">
        <v>254</v>
      </c>
      <c r="E46" s="303">
        <f t="shared" ref="E46:O46" si="3">SUM(E17:E43)</f>
        <v>2001</v>
      </c>
      <c r="F46" s="303">
        <f t="shared" si="3"/>
        <v>2011</v>
      </c>
      <c r="G46" s="303">
        <f t="shared" si="3"/>
        <v>2016</v>
      </c>
      <c r="H46" s="303">
        <f t="shared" si="3"/>
        <v>2016</v>
      </c>
      <c r="I46" s="303">
        <f t="shared" si="3"/>
        <v>2018</v>
      </c>
      <c r="J46" s="303">
        <f t="shared" si="3"/>
        <v>2019</v>
      </c>
      <c r="K46" s="303">
        <f t="shared" si="3"/>
        <v>2019</v>
      </c>
      <c r="L46" s="303">
        <f t="shared" si="3"/>
        <v>2017</v>
      </c>
      <c r="M46" s="303">
        <f t="shared" si="3"/>
        <v>2015</v>
      </c>
      <c r="N46" s="303">
        <f t="shared" si="3"/>
        <v>2013</v>
      </c>
      <c r="O46" s="303">
        <f t="shared" si="3"/>
        <v>2011</v>
      </c>
      <c r="P46" s="303"/>
      <c r="Q46" s="392">
        <v>19.818624378999999</v>
      </c>
      <c r="R46" s="393">
        <v>80.641473801000004</v>
      </c>
      <c r="S46" s="393">
        <v>79.382999999999996</v>
      </c>
      <c r="T46" s="393">
        <v>81.3</v>
      </c>
      <c r="U46" s="393">
        <v>80.400000000000006</v>
      </c>
      <c r="V46" s="393">
        <v>74</v>
      </c>
      <c r="W46" s="393">
        <v>78</v>
      </c>
      <c r="X46" s="393">
        <v>79.209999999999994</v>
      </c>
      <c r="Y46" s="393">
        <v>83.871389070999996</v>
      </c>
      <c r="Z46" s="393">
        <v>93.567194237999999</v>
      </c>
      <c r="AA46" s="393">
        <v>132.10184754900001</v>
      </c>
      <c r="AB46" s="393">
        <v>190.43178439600001</v>
      </c>
      <c r="AC46" s="393">
        <v>263.93965586100001</v>
      </c>
      <c r="AD46" s="393">
        <v>292.81907061800001</v>
      </c>
    </row>
    <row r="47" spans="3:44" x14ac:dyDescent="0.2">
      <c r="C47" s="25"/>
      <c r="D47" s="31" t="s">
        <v>187</v>
      </c>
      <c r="E47" s="155"/>
      <c r="F47" s="155"/>
      <c r="G47" s="155"/>
      <c r="H47" s="155"/>
      <c r="I47" s="155"/>
      <c r="J47" s="370"/>
      <c r="K47" s="370"/>
      <c r="L47" s="155"/>
      <c r="M47" s="155"/>
      <c r="N47" s="155"/>
      <c r="O47" s="155"/>
      <c r="P47" s="155"/>
      <c r="Q47" s="392">
        <v>8.5667756369999992</v>
      </c>
      <c r="R47" s="393">
        <v>25.286185194000002</v>
      </c>
      <c r="S47" s="393">
        <v>29.184999999999999</v>
      </c>
      <c r="T47" s="393">
        <v>31.1</v>
      </c>
      <c r="U47" s="394" t="s">
        <v>51</v>
      </c>
      <c r="V47" s="393">
        <v>9.8000000000000007</v>
      </c>
      <c r="W47" s="393">
        <v>11.5</v>
      </c>
      <c r="X47" s="393">
        <v>8.1229999999999993</v>
      </c>
      <c r="Y47" s="393">
        <v>5.8949999999999996</v>
      </c>
      <c r="Z47" s="393">
        <v>5.0049999999999999</v>
      </c>
      <c r="AA47" s="393">
        <v>5.37</v>
      </c>
      <c r="AB47" s="393">
        <v>6.07</v>
      </c>
      <c r="AC47" s="393">
        <v>5.3713109799999996</v>
      </c>
      <c r="AD47" s="393">
        <v>5.0429577529999996</v>
      </c>
    </row>
    <row r="48" spans="3:44" x14ac:dyDescent="0.2">
      <c r="C48" s="25"/>
      <c r="D48" s="31" t="s">
        <v>255</v>
      </c>
      <c r="E48" s="155"/>
      <c r="F48" s="155"/>
      <c r="G48" s="155"/>
      <c r="H48" s="155"/>
      <c r="I48" s="155"/>
      <c r="J48" s="370"/>
      <c r="K48" s="370"/>
      <c r="L48" s="155"/>
      <c r="M48" s="155"/>
      <c r="N48" s="155"/>
      <c r="O48" s="155"/>
      <c r="P48" s="155"/>
      <c r="Q48" s="392"/>
      <c r="R48" s="393"/>
      <c r="S48" s="393"/>
      <c r="T48" s="394" t="s">
        <v>188</v>
      </c>
      <c r="U48" s="394">
        <v>36.9</v>
      </c>
      <c r="V48" s="393">
        <v>64.7</v>
      </c>
      <c r="W48" s="393">
        <v>68.599999999999994</v>
      </c>
      <c r="X48" s="393">
        <v>72.194000000000003</v>
      </c>
      <c r="Y48" s="393">
        <v>95.260196375999996</v>
      </c>
      <c r="Z48" s="393">
        <v>87.292157520000004</v>
      </c>
      <c r="AA48" s="393">
        <v>92.284064858999997</v>
      </c>
      <c r="AB48" s="393">
        <v>100.93118792200001</v>
      </c>
      <c r="AC48" s="393">
        <v>145.03900704200001</v>
      </c>
      <c r="AD48" s="393">
        <v>147.61283572799999</v>
      </c>
    </row>
    <row r="49" spans="3:30" x14ac:dyDescent="0.2">
      <c r="D49" s="31" t="s">
        <v>232</v>
      </c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393">
        <v>1.903871766</v>
      </c>
      <c r="R49" s="393">
        <v>1.1051081</v>
      </c>
      <c r="S49" s="393">
        <v>0.57599999999999996</v>
      </c>
      <c r="T49" s="393">
        <v>0.9</v>
      </c>
      <c r="U49" s="393">
        <v>2.8</v>
      </c>
      <c r="V49" s="393">
        <v>2.7</v>
      </c>
      <c r="W49" s="393">
        <v>2.2999999999999998</v>
      </c>
      <c r="X49" s="393">
        <v>0.254</v>
      </c>
      <c r="Y49" s="393">
        <v>0.235346323</v>
      </c>
      <c r="Z49" s="393">
        <v>0.24358280800000001</v>
      </c>
      <c r="AA49" s="393">
        <v>0.22532297400000001</v>
      </c>
      <c r="AB49" s="393">
        <v>0.390220069</v>
      </c>
      <c r="AC49" s="393">
        <v>0.308747559</v>
      </c>
      <c r="AD49" s="393">
        <v>0.37309298200000002</v>
      </c>
    </row>
    <row r="50" spans="3:30" x14ac:dyDescent="0.2">
      <c r="D50" s="31" t="s">
        <v>95</v>
      </c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393"/>
      <c r="R50" s="393"/>
      <c r="S50" s="393"/>
      <c r="T50" s="393"/>
      <c r="U50" s="393">
        <v>0.7</v>
      </c>
      <c r="V50" s="393">
        <v>0.8</v>
      </c>
      <c r="W50" s="393">
        <v>0.9</v>
      </c>
      <c r="X50" s="393">
        <v>7.6999999999999999E-2</v>
      </c>
      <c r="Y50" s="393">
        <v>7.3100170000000006E-2</v>
      </c>
      <c r="Z50" s="393">
        <v>6.053091E-2</v>
      </c>
      <c r="AA50" s="393">
        <v>6.053091E-2</v>
      </c>
      <c r="AB50" s="393">
        <v>4.763088E-2</v>
      </c>
      <c r="AC50" s="393">
        <v>5.3584739999999999E-2</v>
      </c>
      <c r="AD50" s="393">
        <v>0.29934685</v>
      </c>
    </row>
    <row r="51" spans="3:30" x14ac:dyDescent="0.2">
      <c r="D51" s="270" t="s">
        <v>231</v>
      </c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395">
        <v>0.19259074000000001</v>
      </c>
      <c r="R51" s="395">
        <v>0.15911043999999999</v>
      </c>
      <c r="S51" s="395">
        <v>0.20799999999999999</v>
      </c>
      <c r="T51" s="395">
        <v>0.246</v>
      </c>
      <c r="U51" s="396" t="s">
        <v>51</v>
      </c>
      <c r="V51" s="396" t="s">
        <v>51</v>
      </c>
      <c r="W51" s="396" t="s">
        <v>51</v>
      </c>
      <c r="X51" s="397" t="s">
        <v>51</v>
      </c>
      <c r="Y51" s="395">
        <v>1.0969105999999999E-2</v>
      </c>
      <c r="Z51" s="395">
        <v>0.358836504</v>
      </c>
      <c r="AA51" s="395">
        <v>0.39283650399999998</v>
      </c>
      <c r="AB51" s="395">
        <v>0.81178064599999999</v>
      </c>
      <c r="AC51" s="395">
        <v>0.85656505900000002</v>
      </c>
      <c r="AD51" s="395">
        <v>0.45984504500000001</v>
      </c>
    </row>
    <row r="52" spans="3:30" x14ac:dyDescent="0.2">
      <c r="AC52" s="17"/>
    </row>
    <row r="53" spans="3:30" x14ac:dyDescent="0.2">
      <c r="D53" s="380" t="s">
        <v>112</v>
      </c>
    </row>
    <row r="54" spans="3:30" x14ac:dyDescent="0.2">
      <c r="E54" s="49"/>
      <c r="F54" s="49"/>
      <c r="G54" s="49"/>
      <c r="H54" s="49"/>
      <c r="I54" s="49"/>
      <c r="J54" s="49"/>
      <c r="K54" s="49"/>
      <c r="L54" s="49"/>
      <c r="M54" s="48"/>
    </row>
    <row r="55" spans="3:30" x14ac:dyDescent="0.2"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3:30" x14ac:dyDescent="0.2"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</row>
  </sheetData>
  <mergeCells count="4">
    <mergeCell ref="Y5:AP5"/>
    <mergeCell ref="M4:W4"/>
    <mergeCell ref="D40:AB40"/>
    <mergeCell ref="D7:AB7"/>
  </mergeCells>
  <phoneticPr fontId="7" type="noConversion"/>
  <pageMargins left="0.48" right="0.75" top="1" bottom="1" header="0.5" footer="0.5"/>
  <pageSetup scale="8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4817" r:id="rId4">
          <objectPr defaultSize="0" autoPict="0" r:id="rId5">
            <anchor moveWithCells="1" sizeWithCells="1">
              <from>
                <xdr:col>1</xdr:col>
                <xdr:colOff>66675</xdr:colOff>
                <xdr:row>0</xdr:row>
                <xdr:rowOff>104775</xdr:rowOff>
              </from>
              <to>
                <xdr:col>3</xdr:col>
                <xdr:colOff>123825</xdr:colOff>
                <xdr:row>2</xdr:row>
                <xdr:rowOff>19050</xdr:rowOff>
              </to>
            </anchor>
          </objectPr>
        </oleObject>
      </mc:Choice>
      <mc:Fallback>
        <oleObject progId="MSPhotoEd.3" shapeId="3481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C2:AT57"/>
  <sheetViews>
    <sheetView topLeftCell="B1" zoomScaleNormal="100" zoomScaleSheetLayoutView="100" workbookViewId="0">
      <selection activeCell="AF24" sqref="AF24"/>
    </sheetView>
  </sheetViews>
  <sheetFormatPr defaultRowHeight="12.75" x14ac:dyDescent="0.2"/>
  <cols>
    <col min="1" max="2" width="2.5703125" style="17" customWidth="1"/>
    <col min="3" max="3" width="9.28515625" style="17" customWidth="1"/>
    <col min="4" max="4" width="24.85546875" style="17" customWidth="1"/>
    <col min="5" max="6" width="8.7109375" style="17" hidden="1" customWidth="1"/>
    <col min="7" max="13" width="7.140625" style="17" hidden="1" customWidth="1"/>
    <col min="14" max="14" width="8.42578125" style="17" hidden="1" customWidth="1"/>
    <col min="15" max="20" width="7.85546875" style="17" hidden="1" customWidth="1"/>
    <col min="21" max="22" width="13.28515625" style="17" hidden="1" customWidth="1"/>
    <col min="23" max="25" width="10.5703125" style="17" hidden="1" customWidth="1"/>
    <col min="26" max="29" width="10.5703125" style="17" customWidth="1"/>
    <col min="30" max="42" width="9.140625" style="17"/>
    <col min="43" max="43" width="0" style="17" hidden="1" customWidth="1"/>
    <col min="44" max="16384" width="9.140625" style="17"/>
  </cols>
  <sheetData>
    <row r="2" spans="3:43" x14ac:dyDescent="0.2">
      <c r="AE2" s="144" t="s">
        <v>253</v>
      </c>
    </row>
    <row r="5" spans="3:43" ht="15" x14ac:dyDescent="0.25"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208"/>
      <c r="AC5" s="208"/>
      <c r="AD5" s="208"/>
    </row>
    <row r="8" spans="3:43" ht="18.75" customHeight="1" x14ac:dyDescent="0.25">
      <c r="C8" s="150" t="s">
        <v>235</v>
      </c>
      <c r="D8" s="399" t="s">
        <v>272</v>
      </c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</row>
    <row r="10" spans="3:43" x14ac:dyDescent="0.2">
      <c r="AC10" s="249"/>
      <c r="AH10" s="249"/>
      <c r="AI10" s="249" t="s">
        <v>164</v>
      </c>
    </row>
    <row r="11" spans="3:43" x14ac:dyDescent="0.2">
      <c r="D11" s="250"/>
      <c r="E11" s="217">
        <v>1990</v>
      </c>
      <c r="F11" s="217">
        <v>1991</v>
      </c>
      <c r="G11" s="218">
        <v>1992</v>
      </c>
      <c r="H11" s="218">
        <v>1993</v>
      </c>
      <c r="I11" s="218">
        <v>1994</v>
      </c>
      <c r="J11" s="218">
        <v>1995</v>
      </c>
      <c r="K11" s="218">
        <v>1996</v>
      </c>
      <c r="L11" s="218">
        <v>1997</v>
      </c>
      <c r="M11" s="218">
        <v>1998</v>
      </c>
      <c r="N11" s="218">
        <v>1998</v>
      </c>
      <c r="O11" s="218">
        <v>1999</v>
      </c>
      <c r="P11" s="219">
        <v>2000</v>
      </c>
      <c r="Q11" s="20">
        <v>2001</v>
      </c>
      <c r="R11" s="20">
        <v>2002</v>
      </c>
      <c r="S11" s="20">
        <v>2003</v>
      </c>
      <c r="T11" s="20">
        <v>2004</v>
      </c>
      <c r="U11" s="20">
        <v>2005</v>
      </c>
      <c r="V11" s="20">
        <v>2006</v>
      </c>
      <c r="W11" s="20">
        <v>2008</v>
      </c>
      <c r="X11" s="20">
        <v>2009</v>
      </c>
      <c r="Y11" s="20">
        <v>2010</v>
      </c>
      <c r="Z11" s="220">
        <v>2011</v>
      </c>
      <c r="AA11" s="220">
        <v>2012</v>
      </c>
      <c r="AB11" s="220">
        <v>2013</v>
      </c>
      <c r="AC11" s="220">
        <v>2014</v>
      </c>
      <c r="AD11" s="220">
        <v>2015</v>
      </c>
      <c r="AE11" s="220">
        <v>2016</v>
      </c>
      <c r="AF11" s="220">
        <v>2017</v>
      </c>
      <c r="AG11" s="220">
        <v>2018</v>
      </c>
      <c r="AH11" s="220">
        <v>2019</v>
      </c>
      <c r="AI11" s="220">
        <v>2020</v>
      </c>
    </row>
    <row r="13" spans="3:43" x14ac:dyDescent="0.2">
      <c r="D13" s="251" t="s">
        <v>27</v>
      </c>
      <c r="E13" s="252">
        <f t="shared" ref="E13:V13" si="0">AVERAGE(E15:E18)</f>
        <v>5.6999999999999993</v>
      </c>
      <c r="F13" s="252">
        <f t="shared" si="0"/>
        <v>4.375</v>
      </c>
      <c r="G13" s="252">
        <f t="shared" si="0"/>
        <v>2.4125000000000001</v>
      </c>
      <c r="H13" s="252">
        <f t="shared" si="0"/>
        <v>1.75</v>
      </c>
      <c r="I13" s="252">
        <f t="shared" si="0"/>
        <v>6.2074999999999996</v>
      </c>
      <c r="J13" s="252">
        <f t="shared" si="0"/>
        <v>8.9149999999999991</v>
      </c>
      <c r="K13" s="252">
        <f t="shared" si="0"/>
        <v>8.2925000000000004</v>
      </c>
      <c r="L13" s="252">
        <f t="shared" si="0"/>
        <v>8.25</v>
      </c>
      <c r="M13" s="252" t="e">
        <f t="shared" si="0"/>
        <v>#DIV/0!</v>
      </c>
      <c r="N13" s="252">
        <f t="shared" si="0"/>
        <v>8.1875</v>
      </c>
      <c r="O13" s="252">
        <f t="shared" si="0"/>
        <v>7.9774999999999991</v>
      </c>
      <c r="P13" s="252">
        <f t="shared" si="0"/>
        <v>9.2074999999999996</v>
      </c>
      <c r="Q13" s="252">
        <f t="shared" si="0"/>
        <v>6.7925000000000004</v>
      </c>
      <c r="R13" s="252">
        <f t="shared" si="0"/>
        <v>4.6675000000000004</v>
      </c>
      <c r="S13" s="252">
        <f t="shared" si="0"/>
        <v>4.125</v>
      </c>
      <c r="T13" s="252">
        <f t="shared" si="0"/>
        <v>4.335</v>
      </c>
      <c r="U13" s="252">
        <f t="shared" si="0"/>
        <v>6.1883333333333335</v>
      </c>
      <c r="V13" s="252">
        <f t="shared" si="0"/>
        <v>7.9625000000000004</v>
      </c>
      <c r="W13" s="252">
        <f t="shared" ref="W13:AH13" si="1">AVERAGE(W15:W18)</f>
        <v>4.9097249999999999</v>
      </c>
      <c r="X13" s="252">
        <f t="shared" si="1"/>
        <v>3.25</v>
      </c>
      <c r="Y13" s="252">
        <f t="shared" si="1"/>
        <v>3.25</v>
      </c>
      <c r="Z13" s="252">
        <f t="shared" si="1"/>
        <v>3.25</v>
      </c>
      <c r="AA13" s="252">
        <f t="shared" si="1"/>
        <v>3.25</v>
      </c>
      <c r="AB13" s="252">
        <f t="shared" si="1"/>
        <v>3.25</v>
      </c>
      <c r="AC13" s="252">
        <f t="shared" si="1"/>
        <v>3.25</v>
      </c>
      <c r="AD13" s="252">
        <f t="shared" si="1"/>
        <v>3.3125</v>
      </c>
      <c r="AE13" s="252">
        <f t="shared" si="1"/>
        <v>3.5625</v>
      </c>
      <c r="AF13" s="252">
        <f>AVERAGE(AF15:AF18)</f>
        <v>4.2083416666666666</v>
      </c>
      <c r="AG13" s="252">
        <f t="shared" si="1"/>
        <v>5.0208166666666676</v>
      </c>
      <c r="AH13" s="252">
        <f t="shared" si="1"/>
        <v>5.239583333333333</v>
      </c>
      <c r="AI13" s="252">
        <f t="shared" ref="AI13" si="2">AVERAGE(AI15:AI18)</f>
        <v>3.25</v>
      </c>
      <c r="AQ13" s="17">
        <v>4932.3999999999996</v>
      </c>
    </row>
    <row r="14" spans="3:43" x14ac:dyDescent="0.2">
      <c r="D14" s="253" t="s">
        <v>26</v>
      </c>
      <c r="AQ14" s="17">
        <v>2281.6999999999998</v>
      </c>
    </row>
    <row r="15" spans="3:43" x14ac:dyDescent="0.2">
      <c r="D15" s="254" t="s">
        <v>84</v>
      </c>
      <c r="E15" s="163">
        <v>5.9</v>
      </c>
      <c r="F15" s="163">
        <v>5</v>
      </c>
      <c r="G15" s="163">
        <v>2.9</v>
      </c>
      <c r="H15" s="163">
        <v>1.75</v>
      </c>
      <c r="I15" s="163">
        <v>6</v>
      </c>
      <c r="J15" s="163">
        <v>8.66</v>
      </c>
      <c r="K15" s="163">
        <v>8.42</v>
      </c>
      <c r="L15" s="163">
        <v>8.25</v>
      </c>
      <c r="N15" s="163">
        <v>8.25</v>
      </c>
      <c r="O15" s="163">
        <v>7.75</v>
      </c>
      <c r="P15" s="163">
        <v>8.66</v>
      </c>
      <c r="Q15" s="163">
        <v>8.5</v>
      </c>
      <c r="R15" s="163">
        <v>4.75</v>
      </c>
      <c r="S15" s="163">
        <v>4.25</v>
      </c>
      <c r="T15" s="163">
        <v>4</v>
      </c>
      <c r="U15" s="163">
        <v>5.5</v>
      </c>
      <c r="V15" s="163">
        <v>7.43</v>
      </c>
      <c r="W15" s="163">
        <f>(6.25+6+5.25)/3</f>
        <v>5.833333333333333</v>
      </c>
      <c r="X15" s="163">
        <v>3.25</v>
      </c>
      <c r="Y15" s="163">
        <v>3.25</v>
      </c>
      <c r="Z15" s="163">
        <v>3.25</v>
      </c>
      <c r="AA15" s="163">
        <v>3.25</v>
      </c>
      <c r="AB15" s="163">
        <v>3.25</v>
      </c>
      <c r="AC15" s="163">
        <v>3.25</v>
      </c>
      <c r="AD15" s="163">
        <v>3.25</v>
      </c>
      <c r="AE15" s="163">
        <v>3.5</v>
      </c>
      <c r="AF15" s="163">
        <v>3.9167000000000001</v>
      </c>
      <c r="AG15" s="163">
        <v>4.666666666666667</v>
      </c>
      <c r="AH15" s="163">
        <v>5.5</v>
      </c>
      <c r="AI15" s="163">
        <v>3.25</v>
      </c>
      <c r="AQ15" s="17">
        <v>100.2</v>
      </c>
    </row>
    <row r="16" spans="3:43" x14ac:dyDescent="0.2">
      <c r="D16" s="254" t="s">
        <v>85</v>
      </c>
      <c r="E16" s="163">
        <v>5.5</v>
      </c>
      <c r="F16" s="163">
        <v>4.25</v>
      </c>
      <c r="G16" s="163">
        <v>2.75</v>
      </c>
      <c r="H16" s="163">
        <v>1.75</v>
      </c>
      <c r="I16" s="163">
        <v>6</v>
      </c>
      <c r="J16" s="163">
        <v>9</v>
      </c>
      <c r="K16" s="163">
        <v>8.25</v>
      </c>
      <c r="L16" s="163">
        <v>8.25</v>
      </c>
      <c r="N16" s="163">
        <v>8.25</v>
      </c>
      <c r="O16" s="17">
        <v>7.75</v>
      </c>
      <c r="P16" s="163">
        <v>9.17</v>
      </c>
      <c r="Q16" s="17">
        <v>7.17</v>
      </c>
      <c r="R16" s="163">
        <v>4.75</v>
      </c>
      <c r="S16" s="17">
        <v>4.25</v>
      </c>
      <c r="T16" s="163">
        <v>4</v>
      </c>
      <c r="U16" s="17">
        <v>5.92</v>
      </c>
      <c r="V16" s="163">
        <v>7.93</v>
      </c>
      <c r="W16" s="163">
        <f>(5.1667+5+5)/3</f>
        <v>5.0555666666666665</v>
      </c>
      <c r="X16" s="163">
        <v>3.25</v>
      </c>
      <c r="Y16" s="163">
        <v>3.25</v>
      </c>
      <c r="Z16" s="163">
        <v>3.25</v>
      </c>
      <c r="AA16" s="163">
        <v>3.25</v>
      </c>
      <c r="AB16" s="163">
        <v>3.25</v>
      </c>
      <c r="AC16" s="163">
        <v>3.25</v>
      </c>
      <c r="AD16" s="163">
        <v>3.25</v>
      </c>
      <c r="AE16" s="163">
        <v>3.5</v>
      </c>
      <c r="AF16" s="163">
        <v>4.25</v>
      </c>
      <c r="AG16" s="163">
        <v>4.875</v>
      </c>
      <c r="AH16" s="163">
        <v>5.5</v>
      </c>
      <c r="AI16" s="163">
        <v>3.25</v>
      </c>
      <c r="AQ16" s="17">
        <v>2181.5</v>
      </c>
    </row>
    <row r="17" spans="3:46" x14ac:dyDescent="0.2">
      <c r="D17" s="254" t="s">
        <v>86</v>
      </c>
      <c r="E17" s="163">
        <v>5.5</v>
      </c>
      <c r="F17" s="163">
        <v>4.25</v>
      </c>
      <c r="G17" s="163">
        <v>2.25</v>
      </c>
      <c r="H17" s="163">
        <v>1.75</v>
      </c>
      <c r="I17" s="163">
        <v>6</v>
      </c>
      <c r="J17" s="163">
        <v>9</v>
      </c>
      <c r="K17" s="163">
        <v>8.25</v>
      </c>
      <c r="L17" s="163">
        <v>8.25</v>
      </c>
      <c r="N17" s="163">
        <v>8.25</v>
      </c>
      <c r="O17" s="17">
        <v>8.08</v>
      </c>
      <c r="P17" s="163">
        <v>9.5</v>
      </c>
      <c r="Q17" s="17">
        <v>6.42</v>
      </c>
      <c r="R17" s="163">
        <v>4.75</v>
      </c>
      <c r="S17" s="163">
        <v>4</v>
      </c>
      <c r="T17" s="163">
        <v>4.41</v>
      </c>
      <c r="U17" s="163">
        <v>6.5</v>
      </c>
      <c r="V17" s="163">
        <v>8.24</v>
      </c>
      <c r="W17" s="163">
        <f>(5+5+5)/3</f>
        <v>5</v>
      </c>
      <c r="X17" s="163">
        <v>3.25</v>
      </c>
      <c r="Y17" s="163">
        <v>3.25</v>
      </c>
      <c r="Z17" s="163">
        <v>3.25</v>
      </c>
      <c r="AA17" s="163">
        <v>3.25</v>
      </c>
      <c r="AB17" s="163">
        <v>3.25</v>
      </c>
      <c r="AC17" s="163">
        <v>3.25</v>
      </c>
      <c r="AD17" s="163">
        <v>3.25</v>
      </c>
      <c r="AE17" s="163">
        <v>3.5</v>
      </c>
      <c r="AF17" s="163">
        <v>4.25</v>
      </c>
      <c r="AG17" s="163">
        <v>5.0833000000000004</v>
      </c>
      <c r="AH17" s="163">
        <v>5.083333333333333</v>
      </c>
      <c r="AI17" s="163">
        <v>3.25</v>
      </c>
      <c r="AQ17" s="17">
        <v>2650.7</v>
      </c>
    </row>
    <row r="18" spans="3:46" x14ac:dyDescent="0.2">
      <c r="D18" s="254" t="s">
        <v>87</v>
      </c>
      <c r="E18" s="163">
        <v>5.9</v>
      </c>
      <c r="F18" s="163">
        <v>4</v>
      </c>
      <c r="G18" s="163">
        <v>1.75</v>
      </c>
      <c r="H18" s="163">
        <v>1.75</v>
      </c>
      <c r="I18" s="163">
        <v>6.83</v>
      </c>
      <c r="J18" s="163">
        <v>9</v>
      </c>
      <c r="K18" s="163">
        <v>8.25</v>
      </c>
      <c r="L18" s="163">
        <v>8.25</v>
      </c>
      <c r="N18" s="163">
        <v>8</v>
      </c>
      <c r="O18" s="163">
        <v>8.33</v>
      </c>
      <c r="P18" s="163">
        <v>9.5</v>
      </c>
      <c r="Q18" s="163">
        <v>5.08</v>
      </c>
      <c r="R18" s="163">
        <v>4.42</v>
      </c>
      <c r="S18" s="163">
        <v>4</v>
      </c>
      <c r="T18" s="163">
        <v>4.93</v>
      </c>
      <c r="U18" s="163">
        <v>6.833333333333333</v>
      </c>
      <c r="V18" s="163">
        <v>8.25</v>
      </c>
      <c r="W18" s="163">
        <f>+(4+4+3.25)/3</f>
        <v>3.75</v>
      </c>
      <c r="X18" s="163">
        <v>3.25</v>
      </c>
      <c r="Y18" s="163">
        <v>3.25</v>
      </c>
      <c r="Z18" s="163">
        <v>3.25</v>
      </c>
      <c r="AA18" s="163">
        <v>3.25</v>
      </c>
      <c r="AB18" s="163">
        <v>3.25</v>
      </c>
      <c r="AC18" s="163">
        <v>3.25</v>
      </c>
      <c r="AD18" s="163">
        <v>3.5</v>
      </c>
      <c r="AE18" s="163">
        <v>3.75</v>
      </c>
      <c r="AF18" s="163">
        <v>4.416666666666667</v>
      </c>
      <c r="AG18" s="163">
        <v>5.4583000000000004</v>
      </c>
      <c r="AH18" s="163">
        <v>4.875</v>
      </c>
      <c r="AI18" s="163">
        <v>3.25</v>
      </c>
      <c r="AQ18" s="17">
        <v>2971.2</v>
      </c>
    </row>
    <row r="19" spans="3:46" x14ac:dyDescent="0.2">
      <c r="D19" s="241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Q19" s="17">
        <v>243.6</v>
      </c>
    </row>
    <row r="20" spans="3:46" x14ac:dyDescent="0.2">
      <c r="D20" s="24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Q20" s="17">
        <v>70.099999999999994</v>
      </c>
    </row>
    <row r="21" spans="3:46" x14ac:dyDescent="0.2">
      <c r="D21" s="255" t="s">
        <v>78</v>
      </c>
      <c r="E21" s="25"/>
      <c r="F21" s="25"/>
      <c r="G21" s="25"/>
      <c r="H21" s="25"/>
      <c r="I21" s="25"/>
      <c r="J21" s="25"/>
      <c r="K21" s="25"/>
      <c r="L21" s="25"/>
      <c r="AQ21" s="17">
        <v>2657.5</v>
      </c>
    </row>
    <row r="22" spans="3:46" x14ac:dyDescent="0.2">
      <c r="D22" s="25" t="s">
        <v>114</v>
      </c>
      <c r="E22" s="25"/>
      <c r="F22" s="25"/>
      <c r="G22" s="25"/>
      <c r="H22" s="25"/>
      <c r="I22" s="25"/>
      <c r="J22" s="25"/>
      <c r="K22" s="25"/>
      <c r="L22" s="25"/>
      <c r="AQ22" s="17">
        <v>-320.5</v>
      </c>
    </row>
    <row r="23" spans="3:46" ht="14.25" x14ac:dyDescent="0.2">
      <c r="D23" s="256"/>
      <c r="E23" s="25"/>
      <c r="F23" s="25"/>
      <c r="G23" s="25"/>
      <c r="H23" s="25"/>
      <c r="I23" s="25"/>
      <c r="J23" s="25"/>
      <c r="K23" s="25"/>
      <c r="L23" s="25"/>
    </row>
    <row r="24" spans="3:46" ht="14.25" x14ac:dyDescent="0.2">
      <c r="D24" s="256"/>
      <c r="E24" s="25"/>
      <c r="F24" s="25"/>
      <c r="G24" s="25"/>
      <c r="H24" s="25"/>
      <c r="I24" s="25"/>
      <c r="J24" s="25"/>
      <c r="K24" s="25"/>
      <c r="L24" s="25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>
        <v>4932.3999999999996</v>
      </c>
      <c r="AR24" s="128"/>
      <c r="AS24" s="128"/>
    </row>
    <row r="25" spans="3:46" ht="15.75" x14ac:dyDescent="0.25">
      <c r="C25" s="164" t="s">
        <v>193</v>
      </c>
      <c r="D25" s="399" t="s">
        <v>274</v>
      </c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>
        <v>1209.0999999999999</v>
      </c>
      <c r="AR25" s="128"/>
      <c r="AS25" s="128"/>
    </row>
    <row r="26" spans="3:46" x14ac:dyDescent="0.2">
      <c r="AC26" s="249"/>
      <c r="AD26" s="249"/>
      <c r="AF26" s="136">
        <v>2000</v>
      </c>
      <c r="AG26" s="128"/>
      <c r="AH26" s="249"/>
      <c r="AI26" s="249" t="s">
        <v>164</v>
      </c>
      <c r="AJ26" s="128"/>
      <c r="AK26" s="128"/>
      <c r="AL26" s="128"/>
      <c r="AM26" s="128"/>
      <c r="AN26" s="165"/>
      <c r="AO26" s="165"/>
      <c r="AP26" s="165"/>
      <c r="AQ26" s="165"/>
      <c r="AR26" s="165"/>
      <c r="AS26" s="165"/>
      <c r="AT26" s="165"/>
    </row>
    <row r="27" spans="3:46" x14ac:dyDescent="0.2">
      <c r="D27" s="250"/>
      <c r="E27" s="217">
        <v>1990</v>
      </c>
      <c r="F27" s="217">
        <v>1991</v>
      </c>
      <c r="G27" s="218">
        <v>1992</v>
      </c>
      <c r="H27" s="218">
        <v>1993</v>
      </c>
      <c r="I27" s="218">
        <v>1994</v>
      </c>
      <c r="J27" s="218">
        <v>1995</v>
      </c>
      <c r="K27" s="218">
        <v>1996</v>
      </c>
      <c r="L27" s="218">
        <v>1997</v>
      </c>
      <c r="M27" s="218">
        <v>1998</v>
      </c>
      <c r="N27" s="218">
        <v>1998</v>
      </c>
      <c r="O27" s="218">
        <v>1999</v>
      </c>
      <c r="P27" s="219">
        <v>2000</v>
      </c>
      <c r="Q27" s="20">
        <v>2001</v>
      </c>
      <c r="R27" s="20">
        <v>2002</v>
      </c>
      <c r="S27" s="20">
        <v>2003</v>
      </c>
      <c r="T27" s="20">
        <v>2004</v>
      </c>
      <c r="U27" s="20">
        <v>2005</v>
      </c>
      <c r="V27" s="20">
        <v>2006</v>
      </c>
      <c r="W27" s="20">
        <v>2008</v>
      </c>
      <c r="X27" s="20">
        <v>2009</v>
      </c>
      <c r="Y27" s="20">
        <v>2010</v>
      </c>
      <c r="Z27" s="220">
        <v>2011</v>
      </c>
      <c r="AA27" s="220">
        <v>2012</v>
      </c>
      <c r="AB27" s="220">
        <v>2013</v>
      </c>
      <c r="AC27" s="220">
        <v>2014</v>
      </c>
      <c r="AD27" s="220">
        <v>2015</v>
      </c>
      <c r="AE27" s="220">
        <v>2016</v>
      </c>
      <c r="AF27" s="220">
        <v>2017</v>
      </c>
      <c r="AG27" s="220">
        <v>2018</v>
      </c>
      <c r="AH27" s="220">
        <v>2019</v>
      </c>
      <c r="AI27" s="220">
        <v>2020</v>
      </c>
      <c r="AJ27" s="128"/>
      <c r="AK27" s="166"/>
      <c r="AL27" s="166"/>
      <c r="AM27" s="166"/>
      <c r="AN27" s="165"/>
      <c r="AO27" s="167"/>
      <c r="AP27" s="167"/>
      <c r="AQ27" s="167"/>
      <c r="AR27" s="167"/>
      <c r="AS27" s="165"/>
    </row>
    <row r="28" spans="3:46" x14ac:dyDescent="0.2">
      <c r="AJ28" s="166"/>
      <c r="AK28" s="166"/>
      <c r="AL28" s="166"/>
      <c r="AM28" s="166"/>
      <c r="AN28" s="128"/>
      <c r="AO28" s="128"/>
      <c r="AP28" s="128"/>
      <c r="AQ28" s="128"/>
      <c r="AR28" s="128"/>
      <c r="AS28" s="128"/>
    </row>
    <row r="29" spans="3:46" x14ac:dyDescent="0.2">
      <c r="D29" s="251" t="s">
        <v>27</v>
      </c>
      <c r="E29" s="252">
        <f t="shared" ref="E29:V29" si="3">AVERAGE(E31:E34)</f>
        <v>5.6999999999999993</v>
      </c>
      <c r="F29" s="252">
        <f t="shared" si="3"/>
        <v>4.375</v>
      </c>
      <c r="G29" s="252">
        <f t="shared" si="3"/>
        <v>2.4125000000000001</v>
      </c>
      <c r="H29" s="252">
        <f t="shared" si="3"/>
        <v>1.75</v>
      </c>
      <c r="I29" s="252">
        <f t="shared" si="3"/>
        <v>6.2074999999999996</v>
      </c>
      <c r="J29" s="252">
        <f t="shared" si="3"/>
        <v>8.9149999999999991</v>
      </c>
      <c r="K29" s="252">
        <f t="shared" si="3"/>
        <v>8.2925000000000004</v>
      </c>
      <c r="L29" s="252">
        <f t="shared" si="3"/>
        <v>8.25</v>
      </c>
      <c r="M29" s="252" t="e">
        <f t="shared" si="3"/>
        <v>#DIV/0!</v>
      </c>
      <c r="N29" s="252">
        <f t="shared" si="3"/>
        <v>8.1875</v>
      </c>
      <c r="O29" s="252">
        <f t="shared" si="3"/>
        <v>7.9774999999999991</v>
      </c>
      <c r="P29" s="252">
        <f t="shared" si="3"/>
        <v>9.2074999999999996</v>
      </c>
      <c r="Q29" s="252">
        <f t="shared" si="3"/>
        <v>6.7925000000000004</v>
      </c>
      <c r="R29" s="252">
        <f t="shared" si="3"/>
        <v>4.6675000000000004</v>
      </c>
      <c r="S29" s="252">
        <f t="shared" si="3"/>
        <v>4.125</v>
      </c>
      <c r="T29" s="252">
        <f t="shared" si="3"/>
        <v>4.335</v>
      </c>
      <c r="U29" s="252">
        <f t="shared" si="3"/>
        <v>6.1883333333333335</v>
      </c>
      <c r="V29" s="252">
        <f t="shared" si="3"/>
        <v>7.9625000000000004</v>
      </c>
      <c r="W29" s="252">
        <f t="shared" ref="W29:AH29" si="4">AVERAGE(W31:W34)</f>
        <v>8.2349999999999994</v>
      </c>
      <c r="X29" s="252">
        <f t="shared" si="4"/>
        <v>6.8425000000000002</v>
      </c>
      <c r="Y29" s="252">
        <f t="shared" si="4"/>
        <v>6.6375000000000002</v>
      </c>
      <c r="Z29" s="252">
        <f t="shared" si="4"/>
        <v>6.7275</v>
      </c>
      <c r="AA29" s="252">
        <f t="shared" si="4"/>
        <v>6.3674999999999997</v>
      </c>
      <c r="AB29" s="252">
        <f t="shared" si="4"/>
        <v>6.2550000000000008</v>
      </c>
      <c r="AC29" s="252">
        <f t="shared" si="4"/>
        <v>6.4074999999999998</v>
      </c>
      <c r="AD29" s="252">
        <f t="shared" si="4"/>
        <v>6.8650000000000002</v>
      </c>
      <c r="AE29" s="252">
        <f t="shared" si="4"/>
        <v>6.9909664677547756</v>
      </c>
      <c r="AF29" s="252">
        <f t="shared" si="4"/>
        <v>7.2216295183690571</v>
      </c>
      <c r="AG29" s="252">
        <f t="shared" si="4"/>
        <v>7.8053343721465476</v>
      </c>
      <c r="AH29" s="252">
        <f t="shared" si="4"/>
        <v>7.4923051249999997</v>
      </c>
      <c r="AI29" s="252">
        <f t="shared" ref="AI29" si="5">AVERAGE(AI31:AI34)</f>
        <v>6.0040212916666675</v>
      </c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</row>
    <row r="30" spans="3:46" x14ac:dyDescent="0.2">
      <c r="D30" s="253" t="s">
        <v>26</v>
      </c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</row>
    <row r="31" spans="3:46" x14ac:dyDescent="0.2">
      <c r="D31" s="254" t="s">
        <v>84</v>
      </c>
      <c r="E31" s="163">
        <v>5.9</v>
      </c>
      <c r="F31" s="163">
        <v>5</v>
      </c>
      <c r="G31" s="163">
        <v>2.9</v>
      </c>
      <c r="H31" s="163">
        <v>1.75</v>
      </c>
      <c r="I31" s="163">
        <v>6</v>
      </c>
      <c r="J31" s="163">
        <v>8.66</v>
      </c>
      <c r="K31" s="163">
        <v>8.42</v>
      </c>
      <c r="L31" s="163">
        <v>8.25</v>
      </c>
      <c r="N31" s="163">
        <v>8.25</v>
      </c>
      <c r="O31" s="163">
        <v>7.75</v>
      </c>
      <c r="P31" s="163">
        <v>8.66</v>
      </c>
      <c r="Q31" s="163">
        <v>8.5</v>
      </c>
      <c r="R31" s="163">
        <v>4.75</v>
      </c>
      <c r="S31" s="163">
        <v>4.25</v>
      </c>
      <c r="T31" s="163">
        <v>4</v>
      </c>
      <c r="U31" s="163">
        <v>5.5</v>
      </c>
      <c r="V31" s="163">
        <v>7.43</v>
      </c>
      <c r="W31" s="163">
        <v>9.2899999999999991</v>
      </c>
      <c r="X31" s="163">
        <v>6.71</v>
      </c>
      <c r="Y31" s="163">
        <v>6.4</v>
      </c>
      <c r="Z31" s="163">
        <v>7.38</v>
      </c>
      <c r="AA31" s="163">
        <v>6.43</v>
      </c>
      <c r="AB31" s="163">
        <v>6.29</v>
      </c>
      <c r="AC31" s="163">
        <v>6.23</v>
      </c>
      <c r="AD31" s="163">
        <v>6.79</v>
      </c>
      <c r="AE31" s="163">
        <v>7.1826999999999996</v>
      </c>
      <c r="AF31" s="163">
        <v>7.0472000000000001</v>
      </c>
      <c r="AG31" s="163">
        <v>7.6900079705688604</v>
      </c>
      <c r="AH31" s="163">
        <v>7.5218999999999996</v>
      </c>
      <c r="AI31" s="163">
        <v>6.0247999999999999</v>
      </c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</row>
    <row r="32" spans="3:46" x14ac:dyDescent="0.2">
      <c r="D32" s="254" t="s">
        <v>85</v>
      </c>
      <c r="E32" s="163">
        <v>5.5</v>
      </c>
      <c r="F32" s="163">
        <v>4.25</v>
      </c>
      <c r="G32" s="163">
        <v>2.75</v>
      </c>
      <c r="H32" s="163">
        <v>1.75</v>
      </c>
      <c r="I32" s="163">
        <v>6</v>
      </c>
      <c r="J32" s="163">
        <v>9</v>
      </c>
      <c r="K32" s="163">
        <v>8.25</v>
      </c>
      <c r="L32" s="163">
        <v>8.25</v>
      </c>
      <c r="N32" s="163">
        <v>8.25</v>
      </c>
      <c r="O32" s="17">
        <v>7.75</v>
      </c>
      <c r="P32" s="163">
        <v>9.17</v>
      </c>
      <c r="Q32" s="17">
        <v>7.17</v>
      </c>
      <c r="R32" s="163">
        <v>4.75</v>
      </c>
      <c r="S32" s="17">
        <v>4.25</v>
      </c>
      <c r="T32" s="163">
        <v>4</v>
      </c>
      <c r="U32" s="17">
        <v>5.92</v>
      </c>
      <c r="V32" s="163">
        <v>7.93</v>
      </c>
      <c r="W32" s="163">
        <v>8.86</v>
      </c>
      <c r="X32" s="163">
        <v>6.77</v>
      </c>
      <c r="Y32" s="163">
        <v>6.55</v>
      </c>
      <c r="Z32" s="163">
        <v>6.43</v>
      </c>
      <c r="AA32" s="163">
        <v>6.41</v>
      </c>
      <c r="AB32" s="163">
        <v>6.26</v>
      </c>
      <c r="AC32" s="163">
        <v>6.47</v>
      </c>
      <c r="AD32" s="163">
        <v>6.85</v>
      </c>
      <c r="AE32" s="163">
        <v>6.8823999999999996</v>
      </c>
      <c r="AF32" s="163">
        <v>7.0823917150331503</v>
      </c>
      <c r="AG32" s="163">
        <v>7.8665295180173302</v>
      </c>
      <c r="AH32" s="163">
        <v>7.6784393333333298</v>
      </c>
      <c r="AI32" s="163">
        <v>6.2510851666666696</v>
      </c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</row>
    <row r="33" spans="4:45" x14ac:dyDescent="0.2">
      <c r="D33" s="254" t="s">
        <v>86</v>
      </c>
      <c r="E33" s="163">
        <v>5.5</v>
      </c>
      <c r="F33" s="163">
        <v>4.25</v>
      </c>
      <c r="G33" s="163">
        <v>2.25</v>
      </c>
      <c r="H33" s="163">
        <v>1.75</v>
      </c>
      <c r="I33" s="163">
        <v>6</v>
      </c>
      <c r="J33" s="163">
        <v>9</v>
      </c>
      <c r="K33" s="163">
        <v>8.25</v>
      </c>
      <c r="L33" s="163">
        <v>8.25</v>
      </c>
      <c r="N33" s="163">
        <v>8.25</v>
      </c>
      <c r="O33" s="17">
        <v>8.08</v>
      </c>
      <c r="P33" s="163">
        <v>9.5</v>
      </c>
      <c r="Q33" s="17">
        <v>6.42</v>
      </c>
      <c r="R33" s="163">
        <v>4.75</v>
      </c>
      <c r="S33" s="163">
        <v>4</v>
      </c>
      <c r="T33" s="163">
        <v>4.41</v>
      </c>
      <c r="U33" s="163">
        <v>6.5</v>
      </c>
      <c r="V33" s="163">
        <v>8.24</v>
      </c>
      <c r="W33" s="163">
        <v>8.07</v>
      </c>
      <c r="X33" s="163">
        <v>7.43</v>
      </c>
      <c r="Y33" s="163">
        <v>7.01</v>
      </c>
      <c r="Z33" s="163">
        <v>6.62</v>
      </c>
      <c r="AA33" s="163">
        <v>6.3</v>
      </c>
      <c r="AB33" s="163">
        <v>6.23</v>
      </c>
      <c r="AC33" s="163">
        <v>6.34</v>
      </c>
      <c r="AD33" s="163">
        <v>6.86</v>
      </c>
      <c r="AE33" s="163">
        <v>6.8843658710191002</v>
      </c>
      <c r="AF33" s="163">
        <v>7.174573727222409</v>
      </c>
      <c r="AG33" s="163">
        <v>7.9450000000000003</v>
      </c>
      <c r="AH33" s="163">
        <v>7.4958580000000001</v>
      </c>
      <c r="AI33" s="163">
        <v>5.9560000000000004</v>
      </c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</row>
    <row r="34" spans="4:45" x14ac:dyDescent="0.2">
      <c r="D34" s="254" t="s">
        <v>87</v>
      </c>
      <c r="E34" s="163">
        <v>5.9</v>
      </c>
      <c r="F34" s="163">
        <v>4</v>
      </c>
      <c r="G34" s="163">
        <v>1.75</v>
      </c>
      <c r="H34" s="163">
        <v>1.75</v>
      </c>
      <c r="I34" s="163">
        <v>6.83</v>
      </c>
      <c r="J34" s="163">
        <v>9</v>
      </c>
      <c r="K34" s="163">
        <v>8.25</v>
      </c>
      <c r="L34" s="163">
        <v>8.25</v>
      </c>
      <c r="N34" s="163">
        <v>8</v>
      </c>
      <c r="O34" s="163">
        <v>8.33</v>
      </c>
      <c r="P34" s="163">
        <v>9.5</v>
      </c>
      <c r="Q34" s="163">
        <v>5.08</v>
      </c>
      <c r="R34" s="163">
        <v>4.42</v>
      </c>
      <c r="S34" s="163">
        <v>4</v>
      </c>
      <c r="T34" s="163">
        <v>4.93</v>
      </c>
      <c r="U34" s="163">
        <v>6.833333333333333</v>
      </c>
      <c r="V34" s="163">
        <v>8.25</v>
      </c>
      <c r="W34" s="163">
        <v>6.72</v>
      </c>
      <c r="X34" s="163">
        <v>6.46</v>
      </c>
      <c r="Y34" s="163">
        <v>6.59</v>
      </c>
      <c r="Z34" s="163">
        <v>6.48</v>
      </c>
      <c r="AA34" s="163">
        <v>6.33</v>
      </c>
      <c r="AB34" s="163">
        <v>6.24</v>
      </c>
      <c r="AC34" s="163">
        <v>6.59</v>
      </c>
      <c r="AD34" s="163">
        <v>6.96</v>
      </c>
      <c r="AE34" s="163">
        <v>7.0144000000000002</v>
      </c>
      <c r="AF34" s="163">
        <v>7.5823526312206697</v>
      </c>
      <c r="AG34" s="163">
        <v>7.7198000000000002</v>
      </c>
      <c r="AH34" s="163">
        <v>7.27302316666667</v>
      </c>
      <c r="AI34" s="163">
        <v>5.7842000000000002</v>
      </c>
    </row>
    <row r="35" spans="4:45" x14ac:dyDescent="0.2">
      <c r="D35" s="241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4:45" x14ac:dyDescent="0.2">
      <c r="D36" s="24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4:45" x14ac:dyDescent="0.2">
      <c r="D37" s="134" t="s">
        <v>109</v>
      </c>
      <c r="E37" s="25"/>
      <c r="F37" s="25"/>
      <c r="G37" s="25"/>
      <c r="H37" s="25"/>
      <c r="I37" s="25"/>
      <c r="J37" s="25"/>
      <c r="K37" s="25"/>
      <c r="L37" s="25"/>
    </row>
    <row r="38" spans="4:45" x14ac:dyDescent="0.2">
      <c r="D38" s="25"/>
      <c r="E38" s="25"/>
      <c r="F38" s="25"/>
      <c r="G38" s="25"/>
      <c r="H38" s="25"/>
      <c r="I38" s="25"/>
      <c r="J38" s="25"/>
      <c r="K38" s="25"/>
      <c r="L38" s="25"/>
    </row>
    <row r="39" spans="4:45" x14ac:dyDescent="0.2">
      <c r="D39" s="25"/>
      <c r="E39" s="25"/>
      <c r="F39" s="25"/>
      <c r="G39" s="25"/>
      <c r="H39" s="25"/>
      <c r="I39" s="25"/>
      <c r="J39" s="25"/>
      <c r="K39" s="25"/>
      <c r="L39" s="25"/>
    </row>
    <row r="40" spans="4:45" x14ac:dyDescent="0.2">
      <c r="D40" s="25"/>
      <c r="E40" s="25"/>
      <c r="F40" s="25"/>
      <c r="G40" s="25"/>
      <c r="H40" s="25"/>
      <c r="I40" s="25"/>
      <c r="J40" s="25"/>
      <c r="K40" s="25"/>
      <c r="L40" s="25"/>
    </row>
    <row r="41" spans="4:45" x14ac:dyDescent="0.2">
      <c r="D41" s="25"/>
      <c r="E41" s="25"/>
      <c r="F41" s="25"/>
      <c r="G41" s="25"/>
      <c r="H41" s="25"/>
      <c r="I41" s="25"/>
      <c r="J41" s="25"/>
      <c r="K41" s="25"/>
      <c r="L41" s="25"/>
    </row>
    <row r="42" spans="4:45" x14ac:dyDescent="0.2">
      <c r="D42" s="25"/>
      <c r="E42" s="25"/>
      <c r="F42" s="25"/>
      <c r="G42" s="25"/>
      <c r="H42" s="25"/>
      <c r="I42" s="25"/>
      <c r="J42" s="25"/>
      <c r="K42" s="25"/>
      <c r="L42" s="25"/>
    </row>
    <row r="43" spans="4:45" x14ac:dyDescent="0.2">
      <c r="D43" s="25"/>
      <c r="E43" s="25"/>
      <c r="F43" s="25"/>
      <c r="G43" s="25"/>
      <c r="H43" s="25"/>
      <c r="I43" s="25"/>
      <c r="J43" s="25"/>
      <c r="K43" s="25"/>
      <c r="L43" s="25"/>
    </row>
    <row r="44" spans="4:45" x14ac:dyDescent="0.2">
      <c r="D44" s="25"/>
      <c r="E44" s="25"/>
      <c r="F44" s="25"/>
      <c r="G44" s="25"/>
      <c r="H44" s="25"/>
      <c r="I44" s="25"/>
      <c r="J44" s="25"/>
      <c r="K44" s="25"/>
      <c r="L44" s="25"/>
    </row>
    <row r="45" spans="4:45" x14ac:dyDescent="0.2">
      <c r="D45" s="25"/>
      <c r="E45" s="25"/>
      <c r="F45" s="25"/>
      <c r="G45" s="25"/>
      <c r="H45" s="25"/>
      <c r="I45" s="25"/>
      <c r="J45" s="25"/>
      <c r="K45" s="25"/>
      <c r="L45" s="25"/>
    </row>
    <row r="46" spans="4:45" x14ac:dyDescent="0.2">
      <c r="D46" s="25"/>
      <c r="E46" s="25"/>
      <c r="F46" s="25"/>
      <c r="G46" s="25"/>
      <c r="H46" s="25"/>
      <c r="I46" s="25"/>
      <c r="J46" s="25"/>
      <c r="K46" s="25"/>
      <c r="L46" s="25"/>
    </row>
    <row r="49" spans="3:28" x14ac:dyDescent="0.2">
      <c r="E49" s="25"/>
      <c r="F49" s="25"/>
      <c r="G49" s="25"/>
      <c r="H49" s="25"/>
      <c r="I49" s="25"/>
      <c r="J49" s="25"/>
      <c r="K49" s="25"/>
      <c r="L49" s="25"/>
    </row>
    <row r="50" spans="3:28" x14ac:dyDescent="0.2">
      <c r="D50" s="25"/>
      <c r="E50" s="25"/>
      <c r="F50" s="25"/>
      <c r="G50" s="25"/>
      <c r="H50" s="25"/>
      <c r="I50" s="25"/>
      <c r="J50" s="25"/>
      <c r="K50" s="25"/>
      <c r="L50" s="25"/>
    </row>
    <row r="51" spans="3:28" x14ac:dyDescent="0.2">
      <c r="E51" s="25"/>
      <c r="F51" s="25"/>
      <c r="G51" s="25"/>
      <c r="H51" s="25"/>
      <c r="I51" s="25"/>
      <c r="J51" s="25"/>
      <c r="K51" s="25"/>
      <c r="L51" s="25"/>
    </row>
    <row r="52" spans="3:28" x14ac:dyDescent="0.2">
      <c r="D52" s="25"/>
      <c r="E52" s="25"/>
      <c r="F52" s="25"/>
      <c r="G52" s="25"/>
      <c r="H52" s="25"/>
      <c r="I52" s="25"/>
      <c r="J52" s="25"/>
      <c r="K52" s="25"/>
      <c r="L52" s="25"/>
    </row>
    <row r="53" spans="3:28" x14ac:dyDescent="0.2">
      <c r="D53" s="25"/>
      <c r="E53" s="25"/>
      <c r="F53" s="25"/>
      <c r="G53" s="25"/>
      <c r="H53" s="25"/>
      <c r="I53" s="25"/>
      <c r="J53" s="25"/>
      <c r="K53" s="25"/>
      <c r="L53" s="25"/>
    </row>
    <row r="54" spans="3:28" x14ac:dyDescent="0.2"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146"/>
    </row>
    <row r="55" spans="3:28" x14ac:dyDescent="0.2"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146"/>
    </row>
    <row r="56" spans="3:28" ht="9" customHeight="1" x14ac:dyDescent="0.2"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3:28" x14ac:dyDescent="0.2">
      <c r="C57" s="398">
        <f>'.07'!B97:K97+1</f>
        <v>1</v>
      </c>
      <c r="D57" s="398"/>
      <c r="E57" s="398"/>
      <c r="F57" s="398"/>
      <c r="G57" s="398"/>
      <c r="H57" s="398"/>
      <c r="I57" s="398"/>
      <c r="J57" s="398"/>
      <c r="K57" s="398"/>
      <c r="L57" s="398"/>
      <c r="M57" s="398"/>
      <c r="N57" s="398"/>
      <c r="O57" s="398"/>
      <c r="P57" s="398"/>
      <c r="Q57" s="398"/>
      <c r="R57" s="398"/>
      <c r="S57" s="398"/>
      <c r="T57" s="398"/>
      <c r="U57" s="398"/>
      <c r="V57" s="398"/>
      <c r="W57" s="398"/>
      <c r="X57" s="398"/>
      <c r="Y57" s="398"/>
      <c r="Z57" s="398"/>
      <c r="AA57" s="398"/>
      <c r="AB57" s="206"/>
    </row>
  </sheetData>
  <mergeCells count="4">
    <mergeCell ref="Q5:AA5"/>
    <mergeCell ref="C57:AA57"/>
    <mergeCell ref="D8:AF8"/>
    <mergeCell ref="D25:AF25"/>
  </mergeCells>
  <phoneticPr fontId="7" type="noConversion"/>
  <printOptions horizontalCentered="1"/>
  <pageMargins left="1" right="1" top="1" bottom="1" header="0.5" footer="0.5"/>
  <pageSetup scale="6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71" r:id="rId4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57150</xdr:rowOff>
              </from>
              <to>
                <xdr:col>3</xdr:col>
                <xdr:colOff>219075</xdr:colOff>
                <xdr:row>3</xdr:row>
                <xdr:rowOff>28575</xdr:rowOff>
              </to>
            </anchor>
          </objectPr>
        </oleObject>
      </mc:Choice>
      <mc:Fallback>
        <oleObject progId="MSPhotoEd.3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7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M14" sqref="M14"/>
    </sheetView>
  </sheetViews>
  <sheetFormatPr defaultRowHeight="12.75" x14ac:dyDescent="0.2"/>
  <cols>
    <col min="1" max="3" width="9.140625" style="17"/>
    <col min="4" max="4" width="11.5703125" style="17" customWidth="1"/>
    <col min="5" max="5" width="12.140625" style="17" customWidth="1"/>
    <col min="6" max="6" width="12.85546875" style="17" customWidth="1"/>
    <col min="7" max="7" width="12.5703125" style="17" customWidth="1"/>
    <col min="8" max="8" width="11.28515625" style="17" customWidth="1"/>
    <col min="9" max="9" width="11.42578125" style="17" customWidth="1"/>
    <col min="10" max="10" width="13.140625" style="17" bestFit="1" customWidth="1"/>
    <col min="11" max="11" width="10.42578125" style="17" bestFit="1" customWidth="1"/>
    <col min="12" max="12" width="9.140625" style="17"/>
    <col min="13" max="13" width="10.42578125" style="17" bestFit="1" customWidth="1"/>
    <col min="14" max="16384" width="9.140625" style="17"/>
  </cols>
  <sheetData>
    <row r="2" spans="1:13" x14ac:dyDescent="0.2">
      <c r="H2" s="144" t="s">
        <v>253</v>
      </c>
    </row>
    <row r="7" spans="1:13" ht="15.75" x14ac:dyDescent="0.25">
      <c r="A7" s="150" t="s">
        <v>237</v>
      </c>
      <c r="C7" s="399" t="s">
        <v>271</v>
      </c>
      <c r="D7" s="399"/>
      <c r="E7" s="399"/>
      <c r="F7" s="399"/>
      <c r="G7" s="399"/>
      <c r="H7" s="399"/>
      <c r="I7" s="399"/>
      <c r="J7" s="399"/>
    </row>
    <row r="8" spans="1:13" x14ac:dyDescent="0.2">
      <c r="B8" s="25"/>
      <c r="C8" s="25"/>
    </row>
    <row r="9" spans="1:13" x14ac:dyDescent="0.2">
      <c r="B9" s="25"/>
      <c r="C9" s="257"/>
      <c r="D9" s="402" t="s">
        <v>147</v>
      </c>
      <c r="E9" s="403"/>
      <c r="F9" s="403"/>
      <c r="G9" s="403"/>
      <c r="H9" s="403"/>
      <c r="I9" s="403"/>
      <c r="J9" s="404"/>
    </row>
    <row r="10" spans="1:13" x14ac:dyDescent="0.2">
      <c r="D10" s="409" t="s">
        <v>148</v>
      </c>
      <c r="E10" s="410"/>
      <c r="F10" s="408" t="s">
        <v>201</v>
      </c>
      <c r="G10" s="408"/>
      <c r="H10" s="408"/>
      <c r="I10" s="408"/>
      <c r="J10" s="405" t="s">
        <v>28</v>
      </c>
    </row>
    <row r="11" spans="1:13" ht="14.25" customHeight="1" x14ac:dyDescent="0.2">
      <c r="D11" s="411"/>
      <c r="E11" s="412"/>
      <c r="F11" s="408" t="s">
        <v>150</v>
      </c>
      <c r="G11" s="408"/>
      <c r="H11" s="408"/>
      <c r="I11" s="405" t="s">
        <v>22</v>
      </c>
      <c r="J11" s="406"/>
    </row>
    <row r="12" spans="1:13" ht="36.75" customHeight="1" x14ac:dyDescent="0.2">
      <c r="D12" s="258" t="s">
        <v>199</v>
      </c>
      <c r="E12" s="258" t="s">
        <v>200</v>
      </c>
      <c r="F12" s="258" t="s">
        <v>202</v>
      </c>
      <c r="G12" s="258" t="s">
        <v>203</v>
      </c>
      <c r="H12" s="258" t="s">
        <v>208</v>
      </c>
      <c r="I12" s="407"/>
      <c r="J12" s="407"/>
    </row>
    <row r="13" spans="1:13" x14ac:dyDescent="0.2">
      <c r="C13" s="259"/>
      <c r="D13" s="413" t="s">
        <v>209</v>
      </c>
      <c r="E13" s="413"/>
      <c r="F13" s="413"/>
      <c r="G13" s="413"/>
      <c r="H13" s="413"/>
      <c r="I13" s="413"/>
      <c r="J13" s="413"/>
    </row>
    <row r="14" spans="1:13" x14ac:dyDescent="0.2">
      <c r="A14" s="25"/>
      <c r="B14" s="401">
        <v>2006</v>
      </c>
      <c r="C14" s="123" t="s">
        <v>204</v>
      </c>
      <c r="D14" s="260">
        <v>86670.645000000004</v>
      </c>
      <c r="E14" s="162">
        <v>4024509.166666667</v>
      </c>
      <c r="F14" s="162">
        <v>59719.166666666672</v>
      </c>
      <c r="G14" s="162">
        <v>68057.5</v>
      </c>
      <c r="H14" s="162">
        <v>1674554.1666666667</v>
      </c>
      <c r="I14" s="162">
        <v>-547801.34300000034</v>
      </c>
      <c r="J14" s="162">
        <f>SUM(D14:I14)</f>
        <v>5365709.3020000001</v>
      </c>
      <c r="K14" s="18"/>
      <c r="L14" s="18"/>
      <c r="M14" s="18"/>
    </row>
    <row r="15" spans="1:13" x14ac:dyDescent="0.2">
      <c r="A15" s="25"/>
      <c r="B15" s="401"/>
      <c r="C15" s="123" t="s">
        <v>205</v>
      </c>
      <c r="D15" s="261">
        <v>88727.35500000001</v>
      </c>
      <c r="E15" s="162">
        <v>4392782.5</v>
      </c>
      <c r="F15" s="162">
        <v>56512.5</v>
      </c>
      <c r="G15" s="162">
        <v>72328.333333333343</v>
      </c>
      <c r="H15" s="162">
        <v>1715580.8333333335</v>
      </c>
      <c r="I15" s="162">
        <v>-580122.28433333337</v>
      </c>
      <c r="J15" s="162">
        <f t="shared" ref="J15:J53" si="0">SUM(D15:I15)</f>
        <v>5745809.2373333331</v>
      </c>
      <c r="K15" s="18"/>
      <c r="L15" s="18"/>
      <c r="M15" s="18"/>
    </row>
    <row r="16" spans="1:13" x14ac:dyDescent="0.2">
      <c r="A16" s="25"/>
      <c r="B16" s="401"/>
      <c r="C16" s="123" t="s">
        <v>206</v>
      </c>
      <c r="D16" s="261">
        <v>88591.119000000006</v>
      </c>
      <c r="E16" s="162">
        <v>3971727.5</v>
      </c>
      <c r="F16" s="162">
        <v>54845.833333333336</v>
      </c>
      <c r="G16" s="162">
        <v>69038.333333333343</v>
      </c>
      <c r="H16" s="162">
        <v>1808348.3333333335</v>
      </c>
      <c r="I16" s="162">
        <v>-256734.25766666653</v>
      </c>
      <c r="J16" s="162">
        <f t="shared" si="0"/>
        <v>5735816.8613333348</v>
      </c>
      <c r="K16" s="18"/>
      <c r="L16" s="18"/>
      <c r="M16" s="18"/>
    </row>
    <row r="17" spans="1:13" x14ac:dyDescent="0.2">
      <c r="A17" s="25"/>
      <c r="B17" s="401"/>
      <c r="C17" s="262" t="s">
        <v>207</v>
      </c>
      <c r="D17" s="263">
        <v>99227.611999999994</v>
      </c>
      <c r="E17" s="264">
        <v>4691723.333333334</v>
      </c>
      <c r="F17" s="264">
        <v>63507.5</v>
      </c>
      <c r="G17" s="264">
        <v>67273.333333333343</v>
      </c>
      <c r="H17" s="264">
        <v>1996531.6666666667</v>
      </c>
      <c r="I17" s="264">
        <v>-600782.15633333358</v>
      </c>
      <c r="J17" s="264">
        <f t="shared" si="0"/>
        <v>6317481.2889999999</v>
      </c>
      <c r="K17" s="18"/>
      <c r="L17" s="18"/>
      <c r="M17" s="18"/>
    </row>
    <row r="18" spans="1:13" x14ac:dyDescent="0.2">
      <c r="A18" s="25"/>
      <c r="B18" s="401">
        <v>2007</v>
      </c>
      <c r="C18" s="123" t="s">
        <v>204</v>
      </c>
      <c r="D18" s="261">
        <v>96340.832999999999</v>
      </c>
      <c r="E18" s="162">
        <v>5487165.833333334</v>
      </c>
      <c r="F18" s="162">
        <v>63025.833333333336</v>
      </c>
      <c r="G18" s="162">
        <v>79523.333333333343</v>
      </c>
      <c r="H18" s="162">
        <v>1919167.5</v>
      </c>
      <c r="I18" s="162">
        <v>-707202.98933333415</v>
      </c>
      <c r="J18" s="162">
        <f t="shared" si="0"/>
        <v>6938020.3436666653</v>
      </c>
      <c r="K18" s="18"/>
      <c r="L18" s="18"/>
      <c r="M18" s="18"/>
    </row>
    <row r="19" spans="1:13" x14ac:dyDescent="0.2">
      <c r="A19" s="25"/>
      <c r="B19" s="401"/>
      <c r="C19" s="123" t="s">
        <v>205</v>
      </c>
      <c r="D19" s="261">
        <v>100149.348</v>
      </c>
      <c r="E19" s="162">
        <v>5579821.666666667</v>
      </c>
      <c r="F19" s="162">
        <v>74015</v>
      </c>
      <c r="G19" s="162">
        <v>79910.833333333343</v>
      </c>
      <c r="H19" s="162">
        <v>1976854.1666666667</v>
      </c>
      <c r="I19" s="162">
        <v>-839611.08399999957</v>
      </c>
      <c r="J19" s="162">
        <f t="shared" si="0"/>
        <v>6971139.9306666674</v>
      </c>
      <c r="K19" s="18"/>
      <c r="L19" s="18"/>
      <c r="M19" s="18"/>
    </row>
    <row r="20" spans="1:13" x14ac:dyDescent="0.2">
      <c r="A20" s="25"/>
      <c r="B20" s="401"/>
      <c r="C20" s="123" t="s">
        <v>206</v>
      </c>
      <c r="D20" s="261">
        <v>101021.058</v>
      </c>
      <c r="E20" s="162">
        <v>3560583.3333333335</v>
      </c>
      <c r="F20" s="162">
        <v>97662.5</v>
      </c>
      <c r="G20" s="162">
        <v>56420</v>
      </c>
      <c r="H20" s="162">
        <v>2044321.6666666667</v>
      </c>
      <c r="I20" s="162">
        <v>-698186.97200000053</v>
      </c>
      <c r="J20" s="162">
        <f t="shared" si="0"/>
        <v>5161821.5859999992</v>
      </c>
      <c r="K20" s="18"/>
      <c r="L20" s="18"/>
      <c r="M20" s="18"/>
    </row>
    <row r="21" spans="1:13" x14ac:dyDescent="0.2">
      <c r="A21" s="25"/>
      <c r="B21" s="401"/>
      <c r="C21" s="262" t="s">
        <v>207</v>
      </c>
      <c r="D21" s="263">
        <v>106603.796</v>
      </c>
      <c r="E21" s="264">
        <v>3729686.666666667</v>
      </c>
      <c r="F21" s="264">
        <v>118238.33333333334</v>
      </c>
      <c r="G21" s="264">
        <v>71932.5</v>
      </c>
      <c r="H21" s="264">
        <v>2066850.8333333335</v>
      </c>
      <c r="I21" s="264">
        <v>-678604.64500000002</v>
      </c>
      <c r="J21" s="264">
        <f t="shared" si="0"/>
        <v>5414707.4843333345</v>
      </c>
      <c r="K21" s="18"/>
      <c r="L21" s="18"/>
      <c r="M21" s="18"/>
    </row>
    <row r="22" spans="1:13" x14ac:dyDescent="0.2">
      <c r="A22" s="25"/>
      <c r="B22" s="401">
        <v>2008</v>
      </c>
      <c r="C22" s="265" t="s">
        <v>204</v>
      </c>
      <c r="D22" s="260">
        <v>105087.64004999999</v>
      </c>
      <c r="E22" s="266">
        <v>3964058.3333333335</v>
      </c>
      <c r="F22" s="266">
        <v>116841.66666666667</v>
      </c>
      <c r="G22" s="266">
        <v>73586.666666666672</v>
      </c>
      <c r="H22" s="266">
        <v>2065420</v>
      </c>
      <c r="I22" s="266">
        <v>-762221.63071666693</v>
      </c>
      <c r="J22" s="266">
        <f t="shared" si="0"/>
        <v>5562772.676</v>
      </c>
      <c r="K22" s="18"/>
      <c r="L22" s="18"/>
      <c r="M22" s="18"/>
    </row>
    <row r="23" spans="1:13" x14ac:dyDescent="0.2">
      <c r="A23" s="25"/>
      <c r="B23" s="401"/>
      <c r="C23" s="123" t="s">
        <v>205</v>
      </c>
      <c r="D23" s="261">
        <v>96135.684860000008</v>
      </c>
      <c r="E23" s="267">
        <v>3180214.166666667</v>
      </c>
      <c r="F23" s="267">
        <v>206712.5</v>
      </c>
      <c r="G23" s="267">
        <v>68721.666666666672</v>
      </c>
      <c r="H23" s="267">
        <v>2133533.3333333335</v>
      </c>
      <c r="I23" s="267">
        <v>-687241.05685999931</v>
      </c>
      <c r="J23" s="267">
        <f t="shared" si="0"/>
        <v>4998076.2946666675</v>
      </c>
      <c r="K23" s="18"/>
      <c r="L23" s="18"/>
      <c r="M23" s="18"/>
    </row>
    <row r="24" spans="1:13" x14ac:dyDescent="0.2">
      <c r="A24" s="25"/>
      <c r="B24" s="401"/>
      <c r="C24" s="123" t="s">
        <v>206</v>
      </c>
      <c r="D24" s="261">
        <v>94802.677390000012</v>
      </c>
      <c r="E24" s="267">
        <v>2922439.166666667</v>
      </c>
      <c r="F24" s="267">
        <v>201800.83333333334</v>
      </c>
      <c r="G24" s="267">
        <v>68501.666666666672</v>
      </c>
      <c r="H24" s="267">
        <v>2242175</v>
      </c>
      <c r="I24" s="267">
        <v>-858336.25438999932</v>
      </c>
      <c r="J24" s="267">
        <f t="shared" si="0"/>
        <v>4671383.0896666674</v>
      </c>
      <c r="K24" s="18"/>
      <c r="L24" s="18"/>
      <c r="M24" s="18"/>
    </row>
    <row r="25" spans="1:13" x14ac:dyDescent="0.2">
      <c r="A25" s="25"/>
      <c r="B25" s="401"/>
      <c r="C25" s="262" t="s">
        <v>207</v>
      </c>
      <c r="D25" s="263">
        <v>101581.79726000001</v>
      </c>
      <c r="E25" s="264">
        <v>3477506.666666667</v>
      </c>
      <c r="F25" s="264">
        <v>271669.16666666669</v>
      </c>
      <c r="G25" s="264">
        <v>53970.833333333336</v>
      </c>
      <c r="H25" s="264">
        <v>2437492.5</v>
      </c>
      <c r="I25" s="264">
        <v>-774034.70396000042</v>
      </c>
      <c r="J25" s="264">
        <f t="shared" si="0"/>
        <v>5568186.2599666668</v>
      </c>
      <c r="K25" s="18"/>
      <c r="L25" s="18"/>
      <c r="M25" s="18"/>
    </row>
    <row r="26" spans="1:13" x14ac:dyDescent="0.2">
      <c r="A26" s="25"/>
      <c r="B26" s="401">
        <v>2009</v>
      </c>
      <c r="C26" s="265" t="s">
        <v>204</v>
      </c>
      <c r="D26" s="260">
        <v>102951.75452999996</v>
      </c>
      <c r="E26" s="266">
        <v>5734872.5</v>
      </c>
      <c r="F26" s="266">
        <v>267909.16666666669</v>
      </c>
      <c r="G26" s="266">
        <v>63519.166666666672</v>
      </c>
      <c r="H26" s="266">
        <v>2522249.166666667</v>
      </c>
      <c r="I26" s="266">
        <v>-786174.49186333455</v>
      </c>
      <c r="J26" s="266">
        <f t="shared" si="0"/>
        <v>7905327.2626666669</v>
      </c>
      <c r="K26" s="18"/>
      <c r="L26" s="18"/>
      <c r="M26" s="18"/>
    </row>
    <row r="27" spans="1:13" x14ac:dyDescent="0.2">
      <c r="A27" s="25"/>
      <c r="B27" s="401"/>
      <c r="C27" s="123" t="s">
        <v>205</v>
      </c>
      <c r="D27" s="261">
        <v>96486.005000000005</v>
      </c>
      <c r="E27" s="267">
        <v>3495581.666666667</v>
      </c>
      <c r="F27" s="267">
        <v>341632.5</v>
      </c>
      <c r="G27" s="267">
        <v>64640</v>
      </c>
      <c r="H27" s="267">
        <v>2596600</v>
      </c>
      <c r="I27" s="267">
        <v>-862075.69866666733</v>
      </c>
      <c r="J27" s="267">
        <f t="shared" si="0"/>
        <v>5732864.4729999993</v>
      </c>
      <c r="K27" s="18"/>
      <c r="L27" s="18"/>
      <c r="M27" s="18"/>
    </row>
    <row r="28" spans="1:13" x14ac:dyDescent="0.2">
      <c r="A28" s="25"/>
      <c r="B28" s="401"/>
      <c r="C28" s="123" t="s">
        <v>206</v>
      </c>
      <c r="D28" s="261">
        <v>93356.459000000003</v>
      </c>
      <c r="E28" s="267">
        <v>3210787.5</v>
      </c>
      <c r="F28" s="267">
        <v>332238.33333333337</v>
      </c>
      <c r="G28" s="267">
        <v>70081.666666666672</v>
      </c>
      <c r="H28" s="267">
        <v>2624880.8333333335</v>
      </c>
      <c r="I28" s="267">
        <v>-872955.81933333387</v>
      </c>
      <c r="J28" s="267">
        <f t="shared" si="0"/>
        <v>5458388.9729999993</v>
      </c>
      <c r="K28" s="18"/>
      <c r="L28" s="18"/>
      <c r="M28" s="18"/>
    </row>
    <row r="29" spans="1:13" x14ac:dyDescent="0.2">
      <c r="A29" s="25"/>
      <c r="B29" s="401"/>
      <c r="C29" s="262" t="s">
        <v>207</v>
      </c>
      <c r="D29" s="263">
        <v>100446</v>
      </c>
      <c r="E29" s="264">
        <v>3880685</v>
      </c>
      <c r="F29" s="264">
        <v>172138.33333333334</v>
      </c>
      <c r="G29" s="264">
        <v>66539.166666666672</v>
      </c>
      <c r="H29" s="264">
        <v>2598143.3333333335</v>
      </c>
      <c r="I29" s="264">
        <v>-868310.7333333334</v>
      </c>
      <c r="J29" s="264">
        <f t="shared" si="0"/>
        <v>5949641.1000000006</v>
      </c>
      <c r="K29" s="18"/>
      <c r="L29" s="18"/>
      <c r="M29" s="18"/>
    </row>
    <row r="30" spans="1:13" x14ac:dyDescent="0.2">
      <c r="A30" s="25"/>
      <c r="B30" s="401">
        <v>2010</v>
      </c>
      <c r="C30" s="265" t="s">
        <v>204</v>
      </c>
      <c r="D30" s="260">
        <v>97702.232999999993</v>
      </c>
      <c r="E30" s="266">
        <v>3895525</v>
      </c>
      <c r="F30" s="266">
        <v>172836.66666666669</v>
      </c>
      <c r="G30" s="266">
        <v>65620</v>
      </c>
      <c r="H30" s="266">
        <v>2622090</v>
      </c>
      <c r="I30" s="266">
        <v>-828994.47233333334</v>
      </c>
      <c r="J30" s="266">
        <f t="shared" si="0"/>
        <v>6024779.4273333335</v>
      </c>
      <c r="K30" s="18"/>
      <c r="L30" s="18"/>
      <c r="M30" s="18"/>
    </row>
    <row r="31" spans="1:13" x14ac:dyDescent="0.2">
      <c r="A31" s="25"/>
      <c r="B31" s="401"/>
      <c r="C31" s="123" t="s">
        <v>205</v>
      </c>
      <c r="D31" s="261">
        <v>82826</v>
      </c>
      <c r="E31" s="267">
        <v>3867654.166666667</v>
      </c>
      <c r="F31" s="267">
        <v>187903.33333333334</v>
      </c>
      <c r="G31" s="267">
        <v>64602.5</v>
      </c>
      <c r="H31" s="267">
        <v>2653330.8333333335</v>
      </c>
      <c r="I31" s="267">
        <v>-709976.54433333315</v>
      </c>
      <c r="J31" s="267">
        <f t="shared" si="0"/>
        <v>6146340.2890000008</v>
      </c>
      <c r="K31" s="18"/>
      <c r="L31" s="18"/>
      <c r="M31" s="18"/>
    </row>
    <row r="32" spans="1:13" x14ac:dyDescent="0.2">
      <c r="A32" s="25"/>
      <c r="B32" s="401"/>
      <c r="C32" s="123" t="s">
        <v>206</v>
      </c>
      <c r="D32" s="261">
        <v>83322.315000000002</v>
      </c>
      <c r="E32" s="267">
        <v>2957624.166666667</v>
      </c>
      <c r="F32" s="267">
        <v>180842.5</v>
      </c>
      <c r="G32" s="267">
        <v>63913.333333333336</v>
      </c>
      <c r="H32" s="267">
        <v>2687942.5</v>
      </c>
      <c r="I32" s="267">
        <v>-708344.74366666679</v>
      </c>
      <c r="J32" s="267">
        <f t="shared" si="0"/>
        <v>5265300.0713333338</v>
      </c>
      <c r="K32" s="18"/>
      <c r="L32" s="18"/>
      <c r="M32" s="18"/>
    </row>
    <row r="33" spans="1:13" x14ac:dyDescent="0.2">
      <c r="A33" s="25"/>
      <c r="B33" s="401"/>
      <c r="C33" s="262" t="s">
        <v>207</v>
      </c>
      <c r="D33" s="263">
        <v>89373.881999999998</v>
      </c>
      <c r="E33" s="264">
        <v>2967104.166666667</v>
      </c>
      <c r="F33" s="264">
        <v>219035.83333333334</v>
      </c>
      <c r="G33" s="264">
        <v>59829.166666666672</v>
      </c>
      <c r="H33" s="264">
        <v>2729273.3333333335</v>
      </c>
      <c r="I33" s="264">
        <v>-757244.33866666711</v>
      </c>
      <c r="J33" s="264">
        <f t="shared" si="0"/>
        <v>5307372.0433333339</v>
      </c>
      <c r="K33" s="18"/>
      <c r="L33" s="18"/>
      <c r="M33" s="18"/>
    </row>
    <row r="34" spans="1:13" x14ac:dyDescent="0.2">
      <c r="A34" s="25"/>
      <c r="B34" s="401">
        <v>2011</v>
      </c>
      <c r="C34" s="265" t="s">
        <v>204</v>
      </c>
      <c r="D34" s="260">
        <v>89777.407000000007</v>
      </c>
      <c r="E34" s="266">
        <v>3300465.8333333335</v>
      </c>
      <c r="F34" s="266">
        <v>236772.5</v>
      </c>
      <c r="G34" s="266">
        <v>78939.166666666672</v>
      </c>
      <c r="H34" s="266">
        <v>2602507.5</v>
      </c>
      <c r="I34" s="266">
        <v>-741498.06666666677</v>
      </c>
      <c r="J34" s="266">
        <f t="shared" si="0"/>
        <v>5566964.3403333332</v>
      </c>
      <c r="K34" s="18"/>
      <c r="L34" s="18"/>
      <c r="M34" s="18"/>
    </row>
    <row r="35" spans="1:13" x14ac:dyDescent="0.2">
      <c r="A35" s="25"/>
      <c r="B35" s="401"/>
      <c r="C35" s="123" t="s">
        <v>205</v>
      </c>
      <c r="D35" s="261">
        <v>89667.123000000007</v>
      </c>
      <c r="E35" s="267">
        <v>3018437.5</v>
      </c>
      <c r="F35" s="267">
        <v>302705.83333333337</v>
      </c>
      <c r="G35" s="267">
        <v>89632.5</v>
      </c>
      <c r="H35" s="267">
        <v>2593193.3333333335</v>
      </c>
      <c r="I35" s="267">
        <v>-660817.5</v>
      </c>
      <c r="J35" s="267">
        <f t="shared" si="0"/>
        <v>5432818.7896666676</v>
      </c>
      <c r="K35" s="18"/>
      <c r="L35" s="18"/>
      <c r="M35" s="18"/>
    </row>
    <row r="36" spans="1:13" x14ac:dyDescent="0.2">
      <c r="A36" s="25"/>
      <c r="B36" s="401"/>
      <c r="C36" s="123" t="s">
        <v>206</v>
      </c>
      <c r="D36" s="261">
        <v>86821.675000000003</v>
      </c>
      <c r="E36" s="267">
        <v>2830612.5</v>
      </c>
      <c r="F36" s="267">
        <v>301326.66666666669</v>
      </c>
      <c r="G36" s="267">
        <v>86940</v>
      </c>
      <c r="H36" s="267">
        <v>2655067.5</v>
      </c>
      <c r="I36" s="267">
        <v>-799625.83333333337</v>
      </c>
      <c r="J36" s="267">
        <f t="shared" si="0"/>
        <v>5161142.5083333338</v>
      </c>
      <c r="K36" s="18"/>
      <c r="L36" s="18"/>
      <c r="M36" s="18"/>
    </row>
    <row r="37" spans="1:13" x14ac:dyDescent="0.2">
      <c r="A37" s="25"/>
      <c r="B37" s="401"/>
      <c r="C37" s="262" t="s">
        <v>207</v>
      </c>
      <c r="D37" s="263">
        <v>94635.178</v>
      </c>
      <c r="E37" s="264">
        <v>2352110.8333333335</v>
      </c>
      <c r="F37" s="264">
        <v>293668.33333333337</v>
      </c>
      <c r="G37" s="264">
        <v>88570</v>
      </c>
      <c r="H37" s="264">
        <v>2724250.8333333335</v>
      </c>
      <c r="I37" s="264">
        <v>-800350</v>
      </c>
      <c r="J37" s="264">
        <f t="shared" si="0"/>
        <v>4752885.1780000003</v>
      </c>
      <c r="K37" s="18"/>
      <c r="L37" s="18"/>
      <c r="M37" s="18"/>
    </row>
    <row r="38" spans="1:13" x14ac:dyDescent="0.2">
      <c r="A38" s="25"/>
      <c r="B38" s="401">
        <v>2012</v>
      </c>
      <c r="C38" s="265" t="s">
        <v>204</v>
      </c>
      <c r="D38" s="260">
        <v>90291.547999999995</v>
      </c>
      <c r="E38" s="266">
        <v>2641666.666666667</v>
      </c>
      <c r="F38" s="266">
        <v>288100.83333333337</v>
      </c>
      <c r="G38" s="266">
        <v>91946.666666666672</v>
      </c>
      <c r="H38" s="266">
        <v>2701511.666666667</v>
      </c>
      <c r="I38" s="266">
        <v>-638688.33333333337</v>
      </c>
      <c r="J38" s="266">
        <f t="shared" si="0"/>
        <v>5174829.0480000013</v>
      </c>
      <c r="K38" s="18"/>
      <c r="L38" s="18"/>
      <c r="M38" s="18"/>
    </row>
    <row r="39" spans="1:13" x14ac:dyDescent="0.2">
      <c r="A39" s="25"/>
      <c r="B39" s="401"/>
      <c r="C39" s="123" t="s">
        <v>205</v>
      </c>
      <c r="D39" s="261">
        <v>93492.849000000002</v>
      </c>
      <c r="E39" s="267">
        <v>2745956.666666667</v>
      </c>
      <c r="F39" s="267">
        <v>285437.5</v>
      </c>
      <c r="G39" s="267">
        <v>89191.666666666672</v>
      </c>
      <c r="H39" s="267">
        <v>2697585</v>
      </c>
      <c r="I39" s="267">
        <v>-614727.5</v>
      </c>
      <c r="J39" s="267">
        <f t="shared" si="0"/>
        <v>5296936.1823333334</v>
      </c>
      <c r="K39" s="18"/>
      <c r="L39" s="18"/>
      <c r="M39" s="18"/>
    </row>
    <row r="40" spans="1:13" x14ac:dyDescent="0.2">
      <c r="A40" s="25"/>
      <c r="B40" s="401"/>
      <c r="C40" s="123" t="s">
        <v>206</v>
      </c>
      <c r="D40" s="261">
        <v>91803.201000000001</v>
      </c>
      <c r="E40" s="267">
        <v>2602755</v>
      </c>
      <c r="F40" s="267">
        <v>280437.5</v>
      </c>
      <c r="G40" s="267">
        <v>86091.666666666672</v>
      </c>
      <c r="H40" s="267">
        <v>2696882.5</v>
      </c>
      <c r="I40" s="267">
        <v>-808489.16666666674</v>
      </c>
      <c r="J40" s="267">
        <f t="shared" si="0"/>
        <v>4949480.7009999994</v>
      </c>
      <c r="K40" s="18"/>
      <c r="L40" s="18"/>
      <c r="M40" s="18"/>
    </row>
    <row r="41" spans="1:13" x14ac:dyDescent="0.2">
      <c r="A41" s="25"/>
      <c r="B41" s="401"/>
      <c r="C41" s="262" t="s">
        <v>207</v>
      </c>
      <c r="D41" s="263">
        <v>99133.245999999999</v>
      </c>
      <c r="E41" s="264">
        <v>2702745.8333333335</v>
      </c>
      <c r="F41" s="264">
        <v>278317.5</v>
      </c>
      <c r="G41" s="264">
        <v>80395.833333333343</v>
      </c>
      <c r="H41" s="264">
        <v>2691864.166666667</v>
      </c>
      <c r="I41" s="264">
        <v>-603780.83333333337</v>
      </c>
      <c r="J41" s="264">
        <f t="shared" si="0"/>
        <v>5248675.7460000003</v>
      </c>
      <c r="K41" s="18"/>
      <c r="L41" s="18"/>
      <c r="M41" s="18"/>
    </row>
    <row r="42" spans="1:13" x14ac:dyDescent="0.2">
      <c r="A42" s="25"/>
      <c r="B42" s="401">
        <v>2013</v>
      </c>
      <c r="C42" s="265" t="s">
        <v>204</v>
      </c>
      <c r="D42" s="260">
        <v>94280.828999999998</v>
      </c>
      <c r="E42" s="266">
        <v>2985774.166666667</v>
      </c>
      <c r="F42" s="266">
        <v>283328.33333333337</v>
      </c>
      <c r="G42" s="266">
        <v>71635</v>
      </c>
      <c r="H42" s="266">
        <v>2651674.166666667</v>
      </c>
      <c r="I42" s="266">
        <v>-555883.33333333337</v>
      </c>
      <c r="J42" s="266">
        <f t="shared" si="0"/>
        <v>5530809.1623333348</v>
      </c>
      <c r="K42" s="18"/>
      <c r="L42" s="18"/>
      <c r="M42" s="18"/>
    </row>
    <row r="43" spans="1:13" x14ac:dyDescent="0.2">
      <c r="A43" s="25"/>
      <c r="B43" s="401"/>
      <c r="C43" s="123" t="s">
        <v>205</v>
      </c>
      <c r="D43" s="261">
        <v>92168.726999999999</v>
      </c>
      <c r="E43" s="267">
        <v>2721544.166666667</v>
      </c>
      <c r="F43" s="267">
        <v>282510</v>
      </c>
      <c r="G43" s="267">
        <v>69328.333333333343</v>
      </c>
      <c r="H43" s="267">
        <v>2628270</v>
      </c>
      <c r="I43" s="267">
        <v>-485151.41666666663</v>
      </c>
      <c r="J43" s="267">
        <f t="shared" si="0"/>
        <v>5308669.810333333</v>
      </c>
      <c r="K43" s="18"/>
      <c r="L43" s="18"/>
      <c r="M43" s="18"/>
    </row>
    <row r="44" spans="1:13" x14ac:dyDescent="0.2">
      <c r="A44" s="25"/>
      <c r="B44" s="401"/>
      <c r="C44" s="123" t="s">
        <v>206</v>
      </c>
      <c r="D44" s="261">
        <v>93735.305999999997</v>
      </c>
      <c r="E44" s="267">
        <v>2657129.166666667</v>
      </c>
      <c r="F44" s="267">
        <v>278535</v>
      </c>
      <c r="G44" s="267">
        <v>67393.333333333343</v>
      </c>
      <c r="H44" s="267">
        <v>2587407.5</v>
      </c>
      <c r="I44" s="267">
        <v>-418936.25</v>
      </c>
      <c r="J44" s="267">
        <f t="shared" si="0"/>
        <v>5265264.0559999999</v>
      </c>
      <c r="K44" s="18"/>
      <c r="L44" s="18"/>
      <c r="M44" s="18"/>
    </row>
    <row r="45" spans="1:13" x14ac:dyDescent="0.2">
      <c r="A45" s="25"/>
      <c r="B45" s="401"/>
      <c r="C45" s="262" t="s">
        <v>207</v>
      </c>
      <c r="D45" s="263">
        <v>101476.898</v>
      </c>
      <c r="E45" s="264">
        <v>3147835</v>
      </c>
      <c r="F45" s="264">
        <v>262695</v>
      </c>
      <c r="G45" s="264">
        <v>75223.333333333343</v>
      </c>
      <c r="H45" s="264">
        <v>2636772.5</v>
      </c>
      <c r="I45" s="264">
        <v>-335603.5</v>
      </c>
      <c r="J45" s="264">
        <f t="shared" si="0"/>
        <v>5888399.231333334</v>
      </c>
      <c r="K45" s="18"/>
      <c r="L45" s="18"/>
      <c r="M45" s="18"/>
    </row>
    <row r="46" spans="1:13" x14ac:dyDescent="0.2">
      <c r="A46" s="25"/>
      <c r="B46" s="401">
        <v>2014</v>
      </c>
      <c r="C46" s="265" t="s">
        <v>204</v>
      </c>
      <c r="D46" s="260">
        <v>96994.873000000007</v>
      </c>
      <c r="E46" s="266">
        <v>3045282.5</v>
      </c>
      <c r="F46" s="266">
        <v>258850</v>
      </c>
      <c r="G46" s="266">
        <v>73716.666666666672</v>
      </c>
      <c r="H46" s="266">
        <v>2624563.3333333335</v>
      </c>
      <c r="I46" s="266">
        <v>-448499.16666666669</v>
      </c>
      <c r="J46" s="266">
        <f t="shared" si="0"/>
        <v>5650908.2063333327</v>
      </c>
      <c r="K46" s="18"/>
      <c r="L46" s="18"/>
      <c r="M46" s="18"/>
    </row>
    <row r="47" spans="1:13" x14ac:dyDescent="0.2">
      <c r="A47" s="25"/>
      <c r="B47" s="401"/>
      <c r="C47" s="123" t="s">
        <v>205</v>
      </c>
      <c r="D47" s="261">
        <v>97109.331999999995</v>
      </c>
      <c r="E47" s="267">
        <v>2700652.5</v>
      </c>
      <c r="F47" s="267">
        <v>264163.33333333337</v>
      </c>
      <c r="G47" s="267">
        <v>62922.5</v>
      </c>
      <c r="H47" s="267">
        <v>2666935</v>
      </c>
      <c r="I47" s="267">
        <v>-433827.5</v>
      </c>
      <c r="J47" s="267">
        <f t="shared" si="0"/>
        <v>5357955.1653333334</v>
      </c>
      <c r="K47" s="18"/>
      <c r="L47" s="18"/>
      <c r="M47" s="18"/>
    </row>
    <row r="48" spans="1:13" x14ac:dyDescent="0.2">
      <c r="A48" s="25"/>
      <c r="B48" s="401"/>
      <c r="C48" s="123" t="s">
        <v>206</v>
      </c>
      <c r="D48" s="261">
        <v>95469.922000000006</v>
      </c>
      <c r="E48" s="267">
        <v>2510740.8333333335</v>
      </c>
      <c r="F48" s="267">
        <v>250426.66666666669</v>
      </c>
      <c r="G48" s="267">
        <v>71960</v>
      </c>
      <c r="H48" s="267">
        <v>2688485</v>
      </c>
      <c r="I48" s="267">
        <v>-476775</v>
      </c>
      <c r="J48" s="267">
        <f t="shared" si="0"/>
        <v>5140307.4220000003</v>
      </c>
      <c r="K48" s="18"/>
      <c r="L48" s="18"/>
      <c r="M48" s="18"/>
    </row>
    <row r="49" spans="1:13" x14ac:dyDescent="0.2">
      <c r="A49" s="25"/>
      <c r="B49" s="401"/>
      <c r="C49" s="262" t="s">
        <v>207</v>
      </c>
      <c r="D49" s="263">
        <v>100243.712</v>
      </c>
      <c r="E49" s="264">
        <v>2181505.8333333335</v>
      </c>
      <c r="F49" s="264">
        <v>243614.16666666669</v>
      </c>
      <c r="G49" s="264">
        <v>70134.166666666672</v>
      </c>
      <c r="H49" s="264">
        <v>2657484.166666667</v>
      </c>
      <c r="I49" s="264">
        <v>-320585.83333333337</v>
      </c>
      <c r="J49" s="264">
        <f t="shared" si="0"/>
        <v>4932396.2120000003</v>
      </c>
      <c r="K49" s="18"/>
      <c r="L49" s="18"/>
      <c r="M49" s="18"/>
    </row>
    <row r="50" spans="1:13" x14ac:dyDescent="0.2">
      <c r="A50" s="25"/>
      <c r="B50" s="401">
        <v>2015</v>
      </c>
      <c r="C50" s="265" t="s">
        <v>204</v>
      </c>
      <c r="D50" s="260">
        <v>98775.788</v>
      </c>
      <c r="E50" s="266">
        <v>2203230</v>
      </c>
      <c r="F50" s="266">
        <v>242012.5</v>
      </c>
      <c r="G50" s="266">
        <v>71084.166666666672</v>
      </c>
      <c r="H50" s="266">
        <v>2602773.3333333335</v>
      </c>
      <c r="I50" s="266">
        <v>-310603.33333333337</v>
      </c>
      <c r="J50" s="266">
        <f t="shared" si="0"/>
        <v>4907272.4546666676</v>
      </c>
      <c r="K50" s="18"/>
      <c r="L50" s="18"/>
      <c r="M50" s="18"/>
    </row>
    <row r="51" spans="1:13" x14ac:dyDescent="0.2">
      <c r="A51" s="25"/>
      <c r="B51" s="401"/>
      <c r="C51" s="123" t="s">
        <v>205</v>
      </c>
      <c r="D51" s="261">
        <v>99812.597240000003</v>
      </c>
      <c r="E51" s="267">
        <v>2252625</v>
      </c>
      <c r="F51" s="267">
        <v>237065</v>
      </c>
      <c r="G51" s="267">
        <v>76145.833333333343</v>
      </c>
      <c r="H51" s="267">
        <v>2632825</v>
      </c>
      <c r="I51" s="267">
        <v>-282066.30166666664</v>
      </c>
      <c r="J51" s="267">
        <f t="shared" si="0"/>
        <v>5016407.1289066663</v>
      </c>
      <c r="K51" s="18"/>
      <c r="L51" s="18"/>
      <c r="M51" s="18"/>
    </row>
    <row r="52" spans="1:13" x14ac:dyDescent="0.2">
      <c r="A52" s="25"/>
      <c r="B52" s="401"/>
      <c r="C52" s="123" t="s">
        <v>206</v>
      </c>
      <c r="D52" s="261">
        <v>104256.88400000001</v>
      </c>
      <c r="E52" s="267">
        <v>3101693.3333333335</v>
      </c>
      <c r="F52" s="267">
        <v>234795</v>
      </c>
      <c r="G52" s="267">
        <v>76303.333333333343</v>
      </c>
      <c r="H52" s="267">
        <v>2697831.666666667</v>
      </c>
      <c r="I52" s="267">
        <v>-760676.66666666674</v>
      </c>
      <c r="J52" s="267">
        <f t="shared" si="0"/>
        <v>5454203.5506666666</v>
      </c>
      <c r="K52" s="18"/>
      <c r="L52" s="18"/>
      <c r="M52" s="18"/>
    </row>
    <row r="53" spans="1:13" x14ac:dyDescent="0.2">
      <c r="A53" s="25"/>
      <c r="B53" s="401"/>
      <c r="C53" s="262" t="s">
        <v>207</v>
      </c>
      <c r="D53" s="263">
        <v>110803.60500000001</v>
      </c>
      <c r="E53" s="264">
        <v>3684633.3333333335</v>
      </c>
      <c r="F53" s="264">
        <v>226475</v>
      </c>
      <c r="G53" s="264">
        <v>70036.666666666672</v>
      </c>
      <c r="H53" s="264">
        <v>2684706.666666667</v>
      </c>
      <c r="I53" s="264">
        <v>-878694.87933333346</v>
      </c>
      <c r="J53" s="264">
        <f t="shared" si="0"/>
        <v>5897960.3923333334</v>
      </c>
      <c r="K53" s="18"/>
      <c r="L53" s="18"/>
      <c r="M53" s="18"/>
    </row>
    <row r="54" spans="1:13" x14ac:dyDescent="0.2">
      <c r="A54" s="25"/>
      <c r="B54" s="401">
        <v>2016</v>
      </c>
      <c r="C54" s="265" t="s">
        <v>204</v>
      </c>
      <c r="D54" s="260">
        <v>108195.675</v>
      </c>
      <c r="E54" s="266">
        <v>4006320.833333334</v>
      </c>
      <c r="F54" s="266">
        <v>224310</v>
      </c>
      <c r="G54" s="266">
        <v>68988.333333333343</v>
      </c>
      <c r="H54" s="266">
        <v>2661350</v>
      </c>
      <c r="I54" s="266">
        <v>-950835.88533333316</v>
      </c>
      <c r="J54" s="266">
        <v>6118328.9563333336</v>
      </c>
      <c r="K54" s="18"/>
      <c r="L54" s="18"/>
      <c r="M54" s="18"/>
    </row>
    <row r="55" spans="1:13" x14ac:dyDescent="0.2">
      <c r="A55" s="25"/>
      <c r="B55" s="401"/>
      <c r="C55" s="123" t="s">
        <v>205</v>
      </c>
      <c r="D55" s="261">
        <v>112913.70699999999</v>
      </c>
      <c r="E55" s="267">
        <v>3716890.833333334</v>
      </c>
      <c r="F55" s="267">
        <v>222240</v>
      </c>
      <c r="G55" s="267">
        <v>66406.666666666672</v>
      </c>
      <c r="H55" s="267">
        <v>2694503.3333333335</v>
      </c>
      <c r="I55" s="267">
        <v>-911710.57233333401</v>
      </c>
      <c r="J55" s="267">
        <v>5901243.9680000003</v>
      </c>
      <c r="K55" s="18"/>
      <c r="L55" s="18"/>
      <c r="M55" s="18"/>
    </row>
    <row r="56" spans="1:13" x14ac:dyDescent="0.2">
      <c r="A56" s="25"/>
      <c r="B56" s="401"/>
      <c r="C56" s="123" t="s">
        <v>206</v>
      </c>
      <c r="D56" s="261">
        <v>115407.94699999999</v>
      </c>
      <c r="E56" s="267">
        <v>3664515.0000000005</v>
      </c>
      <c r="F56" s="267">
        <v>211476.66666666669</v>
      </c>
      <c r="G56" s="267">
        <v>83112.5</v>
      </c>
      <c r="H56" s="267">
        <v>2771814.166666667</v>
      </c>
      <c r="I56" s="267">
        <v>-1025977.1485233338</v>
      </c>
      <c r="J56" s="267">
        <v>5820349.1318100011</v>
      </c>
      <c r="K56" s="18"/>
      <c r="L56" s="18"/>
      <c r="M56" s="18"/>
    </row>
    <row r="57" spans="1:13" x14ac:dyDescent="0.2">
      <c r="A57" s="25"/>
      <c r="B57" s="401"/>
      <c r="C57" s="262" t="s">
        <v>207</v>
      </c>
      <c r="D57" s="263">
        <v>122210.798</v>
      </c>
      <c r="E57" s="264">
        <v>3760776.6666666665</v>
      </c>
      <c r="F57" s="264">
        <v>210950.83333333334</v>
      </c>
      <c r="G57" s="264">
        <v>63962.5</v>
      </c>
      <c r="H57" s="264">
        <v>2808971.666666667</v>
      </c>
      <c r="I57" s="264">
        <v>-811587.09066666744</v>
      </c>
      <c r="J57" s="264">
        <v>6155285.3739999989</v>
      </c>
      <c r="K57" s="18"/>
      <c r="L57" s="18"/>
      <c r="M57" s="18"/>
    </row>
    <row r="58" spans="1:13" x14ac:dyDescent="0.2">
      <c r="A58" s="25"/>
      <c r="B58" s="401">
        <v>2017</v>
      </c>
      <c r="C58" s="265" t="s">
        <v>204</v>
      </c>
      <c r="D58" s="260">
        <v>116428.996</v>
      </c>
      <c r="E58" s="266">
        <v>4150978.3333333335</v>
      </c>
      <c r="F58" s="266">
        <v>207280</v>
      </c>
      <c r="G58" s="266">
        <v>55531.666666666701</v>
      </c>
      <c r="H58" s="266">
        <v>2694545.0095090698</v>
      </c>
      <c r="I58" s="266">
        <v>-967171.47169906949</v>
      </c>
      <c r="J58" s="266">
        <v>6257592.5338100009</v>
      </c>
      <c r="K58" s="18"/>
      <c r="L58" s="18"/>
      <c r="M58" s="18"/>
    </row>
    <row r="59" spans="1:13" x14ac:dyDescent="0.2">
      <c r="A59" s="25"/>
      <c r="B59" s="401"/>
      <c r="C59" s="123" t="s">
        <v>205</v>
      </c>
      <c r="D59" s="261">
        <v>119562.95699999999</v>
      </c>
      <c r="E59" s="267">
        <v>4245168.3333333321</v>
      </c>
      <c r="F59" s="267">
        <v>197975.83333333299</v>
      </c>
      <c r="G59" s="267">
        <v>63291.666666666701</v>
      </c>
      <c r="H59" s="267">
        <v>2689954.1678423998</v>
      </c>
      <c r="I59" s="267">
        <v>-852697.29503240122</v>
      </c>
      <c r="J59" s="267">
        <v>6463255.6631433303</v>
      </c>
      <c r="K59" s="18"/>
      <c r="L59" s="18"/>
      <c r="M59" s="18"/>
    </row>
    <row r="60" spans="1:13" x14ac:dyDescent="0.2">
      <c r="A60" s="25"/>
      <c r="B60" s="401"/>
      <c r="C60" s="123" t="s">
        <v>206</v>
      </c>
      <c r="D60" s="261">
        <v>118879.319</v>
      </c>
      <c r="E60" s="267">
        <v>4358949.166666667</v>
      </c>
      <c r="F60" s="267">
        <v>185775.83333333299</v>
      </c>
      <c r="G60" s="267">
        <v>53362.5</v>
      </c>
      <c r="H60" s="267">
        <v>2759591.6666666698</v>
      </c>
      <c r="I60" s="267">
        <v>-976423.5963333362</v>
      </c>
      <c r="J60" s="267">
        <v>6500134.8893333338</v>
      </c>
      <c r="K60" s="18"/>
      <c r="L60" s="18"/>
      <c r="M60" s="18"/>
    </row>
    <row r="61" spans="1:13" x14ac:dyDescent="0.2">
      <c r="B61" s="401"/>
      <c r="C61" s="262" t="s">
        <v>207</v>
      </c>
      <c r="D61" s="263">
        <v>126617.673</v>
      </c>
      <c r="E61" s="264">
        <v>4827933.3333333321</v>
      </c>
      <c r="F61" s="264">
        <v>182834.16666666701</v>
      </c>
      <c r="G61" s="264">
        <v>55531.666666666701</v>
      </c>
      <c r="H61" s="264">
        <v>2950177.5</v>
      </c>
      <c r="I61" s="264">
        <v>-857235.18518999848</v>
      </c>
      <c r="J61" s="264">
        <v>7285859.1544766678</v>
      </c>
    </row>
    <row r="62" spans="1:13" x14ac:dyDescent="0.2">
      <c r="B62" s="401">
        <v>2018</v>
      </c>
      <c r="C62" s="265" t="s">
        <v>204</v>
      </c>
      <c r="D62" s="260">
        <v>124125.44099999999</v>
      </c>
      <c r="E62" s="266">
        <v>4731854.166666667</v>
      </c>
      <c r="F62" s="266">
        <v>172559.16666666669</v>
      </c>
      <c r="G62" s="266">
        <v>55866.666666666672</v>
      </c>
      <c r="H62" s="266">
        <v>3144845</v>
      </c>
      <c r="I62" s="266">
        <v>-1017032.7576666659</v>
      </c>
      <c r="J62" s="266">
        <v>7212217.6833333345</v>
      </c>
    </row>
    <row r="63" spans="1:13" x14ac:dyDescent="0.2">
      <c r="B63" s="401"/>
      <c r="C63" s="123" t="s">
        <v>205</v>
      </c>
      <c r="D63" s="261">
        <v>125078.16232</v>
      </c>
      <c r="E63" s="267">
        <v>3954889.998333334</v>
      </c>
      <c r="F63" s="267">
        <v>169995.06250000003</v>
      </c>
      <c r="G63" s="267">
        <v>52043.576666666668</v>
      </c>
      <c r="H63" s="267">
        <v>3469856.666666667</v>
      </c>
      <c r="I63" s="267">
        <v>-1083587.996903335</v>
      </c>
      <c r="J63" s="267">
        <v>6688275.4695833325</v>
      </c>
    </row>
    <row r="64" spans="1:13" x14ac:dyDescent="0.2">
      <c r="B64" s="401"/>
      <c r="C64" s="123" t="s">
        <v>206</v>
      </c>
      <c r="D64" s="261">
        <v>124534.61900000001</v>
      </c>
      <c r="E64" s="267">
        <v>4450728.3333333321</v>
      </c>
      <c r="F64" s="267">
        <v>159720.83333333334</v>
      </c>
      <c r="G64" s="267">
        <v>53335</v>
      </c>
      <c r="H64" s="267">
        <v>3034915</v>
      </c>
      <c r="I64" s="267">
        <v>-1180545.5614166644</v>
      </c>
      <c r="J64" s="267">
        <v>6642688.2242500018</v>
      </c>
    </row>
    <row r="65" spans="2:12" x14ac:dyDescent="0.2">
      <c r="B65" s="401"/>
      <c r="C65" s="262" t="s">
        <v>207</v>
      </c>
      <c r="D65" s="263">
        <v>135807.45500000002</v>
      </c>
      <c r="E65" s="264">
        <v>5169259.166666667</v>
      </c>
      <c r="F65" s="264">
        <v>157157.5</v>
      </c>
      <c r="G65" s="264">
        <v>50066.666666666672</v>
      </c>
      <c r="H65" s="264">
        <v>2859100.8333333335</v>
      </c>
      <c r="I65" s="264">
        <v>-996902.64449999994</v>
      </c>
      <c r="J65" s="264">
        <v>7374488.9771666676</v>
      </c>
    </row>
    <row r="66" spans="2:12" x14ac:dyDescent="0.2">
      <c r="B66" s="401">
        <v>2019</v>
      </c>
      <c r="C66" s="265" t="s">
        <v>204</v>
      </c>
      <c r="D66" s="260">
        <v>133413.15599999999</v>
      </c>
      <c r="E66" s="266">
        <v>5332677.5000000019</v>
      </c>
      <c r="F66" s="266">
        <v>146881.66666666669</v>
      </c>
      <c r="G66" s="266">
        <v>52020.833333333336</v>
      </c>
      <c r="H66" s="266">
        <v>2926952.5</v>
      </c>
      <c r="I66" s="266">
        <v>-1240797.0376666673</v>
      </c>
      <c r="J66" s="266">
        <v>7351148.6183333332</v>
      </c>
    </row>
    <row r="67" spans="2:12" x14ac:dyDescent="0.2">
      <c r="B67" s="401"/>
      <c r="C67" s="123" t="s">
        <v>205</v>
      </c>
      <c r="D67" s="261">
        <v>136407.44000000003</v>
      </c>
      <c r="E67" s="267">
        <v>5420965.753816667</v>
      </c>
      <c r="F67" s="267">
        <v>144318.0625</v>
      </c>
      <c r="G67" s="267">
        <v>50524.6875</v>
      </c>
      <c r="H67" s="267">
        <v>2931097.8458333337</v>
      </c>
      <c r="I67" s="267">
        <v>-1286886.8387250002</v>
      </c>
      <c r="J67" s="267">
        <v>7396426.950925</v>
      </c>
    </row>
    <row r="68" spans="2:12" x14ac:dyDescent="0.2">
      <c r="B68" s="401"/>
      <c r="C68" s="123" t="s">
        <v>206</v>
      </c>
      <c r="D68" s="261">
        <v>135290.88</v>
      </c>
      <c r="E68" s="267">
        <v>5121960.6802416677</v>
      </c>
      <c r="F68" s="267">
        <v>134047.97333333333</v>
      </c>
      <c r="G68" s="267">
        <v>51823.560833333337</v>
      </c>
      <c r="H68" s="267">
        <v>2949616.22</v>
      </c>
      <c r="I68" s="267">
        <v>-1212609.2905333384</v>
      </c>
      <c r="J68" s="267">
        <v>7180130.023875</v>
      </c>
    </row>
    <row r="69" spans="2:12" x14ac:dyDescent="0.2">
      <c r="B69" s="401"/>
      <c r="C69" s="262" t="s">
        <v>207</v>
      </c>
      <c r="D69" s="263">
        <v>153763.30317500001</v>
      </c>
      <c r="E69" s="264">
        <v>5176736.6600249996</v>
      </c>
      <c r="F69" s="264">
        <v>230928.8066666667</v>
      </c>
      <c r="G69" s="264">
        <v>45054.5</v>
      </c>
      <c r="H69" s="264">
        <v>3024907.3233333337</v>
      </c>
      <c r="I69" s="264">
        <v>-1065198.8184166665</v>
      </c>
      <c r="J69" s="264">
        <v>7566191.7747833338</v>
      </c>
    </row>
    <row r="70" spans="2:12" x14ac:dyDescent="0.2">
      <c r="B70" s="401">
        <v>2020</v>
      </c>
      <c r="C70" s="265" t="s">
        <v>204</v>
      </c>
      <c r="D70" s="260">
        <v>165278.807</v>
      </c>
      <c r="E70" s="266">
        <v>4898521.6960333344</v>
      </c>
      <c r="F70" s="266">
        <v>218987.39</v>
      </c>
      <c r="G70" s="266">
        <v>55893.396841666668</v>
      </c>
      <c r="H70" s="266">
        <v>3130470.1519666668</v>
      </c>
      <c r="I70" s="266">
        <v>-1011654.8932416664</v>
      </c>
      <c r="J70" s="266">
        <v>7457496.5486000022</v>
      </c>
    </row>
    <row r="71" spans="2:12" x14ac:dyDescent="0.2">
      <c r="B71" s="401"/>
      <c r="C71" s="123" t="s">
        <v>205</v>
      </c>
      <c r="D71" s="261">
        <v>171441.58397500002</v>
      </c>
      <c r="E71" s="267">
        <v>5484907.8415083336</v>
      </c>
      <c r="F71" s="267">
        <v>214757.38999999998</v>
      </c>
      <c r="G71" s="267">
        <v>49374.756666666668</v>
      </c>
      <c r="H71" s="267">
        <v>3086744.2867583334</v>
      </c>
      <c r="I71" s="267">
        <v>-1029806.3793749998</v>
      </c>
      <c r="J71" s="267">
        <v>7977419.4795333333</v>
      </c>
      <c r="L71" s="267"/>
    </row>
    <row r="72" spans="2:12" x14ac:dyDescent="0.2">
      <c r="B72" s="401"/>
      <c r="C72" s="123" t="s">
        <v>206</v>
      </c>
      <c r="D72" s="261">
        <v>175257.07158333334</v>
      </c>
      <c r="E72" s="267">
        <v>5443003.6673666658</v>
      </c>
      <c r="F72" s="267">
        <v>202815.97333333336</v>
      </c>
      <c r="G72" s="267">
        <v>38570.669166666667</v>
      </c>
      <c r="H72" s="267">
        <v>3149645.3018999998</v>
      </c>
      <c r="I72" s="267">
        <v>-1104716.6959250008</v>
      </c>
      <c r="J72" s="267">
        <v>7904575.9874249976</v>
      </c>
    </row>
    <row r="73" spans="2:12" x14ac:dyDescent="0.2">
      <c r="B73" s="401"/>
      <c r="C73" s="262" t="s">
        <v>207</v>
      </c>
      <c r="D73" s="263">
        <v>181497.62875666667</v>
      </c>
      <c r="E73" s="264">
        <v>5708257.6357250018</v>
      </c>
      <c r="F73" s="264">
        <v>198581.31250000003</v>
      </c>
      <c r="G73" s="264">
        <v>38730.596666666672</v>
      </c>
      <c r="H73" s="264">
        <v>3195623.1803416666</v>
      </c>
      <c r="I73" s="264">
        <v>-1132914.6052650004</v>
      </c>
      <c r="J73" s="264">
        <v>8189775.7487250017</v>
      </c>
    </row>
    <row r="74" spans="2:12" x14ac:dyDescent="0.2">
      <c r="B74" s="268"/>
      <c r="C74" s="123"/>
      <c r="D74" s="267"/>
      <c r="E74" s="267"/>
      <c r="F74" s="267"/>
      <c r="G74" s="267"/>
      <c r="H74" s="267"/>
      <c r="I74" s="267"/>
      <c r="J74" s="267"/>
    </row>
    <row r="75" spans="2:12" x14ac:dyDescent="0.2">
      <c r="B75" s="268"/>
      <c r="C75" s="123"/>
      <c r="D75" s="267"/>
      <c r="E75" s="267"/>
      <c r="F75" s="267"/>
      <c r="G75" s="267"/>
      <c r="H75" s="267"/>
      <c r="I75" s="267"/>
      <c r="J75" s="267"/>
    </row>
    <row r="76" spans="2:12" x14ac:dyDescent="0.2">
      <c r="B76" s="130" t="s">
        <v>233</v>
      </c>
    </row>
  </sheetData>
  <mergeCells count="23">
    <mergeCell ref="B22:B25"/>
    <mergeCell ref="B66:B69"/>
    <mergeCell ref="F11:H11"/>
    <mergeCell ref="F10:I10"/>
    <mergeCell ref="D10:E11"/>
    <mergeCell ref="I11:I12"/>
    <mergeCell ref="D13:J13"/>
    <mergeCell ref="B70:B73"/>
    <mergeCell ref="C7:J7"/>
    <mergeCell ref="B38:B41"/>
    <mergeCell ref="B42:B45"/>
    <mergeCell ref="B46:B49"/>
    <mergeCell ref="B62:B65"/>
    <mergeCell ref="B58:B61"/>
    <mergeCell ref="B50:B53"/>
    <mergeCell ref="B54:B57"/>
    <mergeCell ref="D9:J9"/>
    <mergeCell ref="J10:J12"/>
    <mergeCell ref="B26:B29"/>
    <mergeCell ref="B30:B33"/>
    <mergeCell ref="B34:B37"/>
    <mergeCell ref="B14:B17"/>
    <mergeCell ref="B18:B21"/>
  </mergeCells>
  <pageMargins left="0.7" right="0.7" top="0.75" bottom="0.75" header="0.3" footer="0.3"/>
  <pageSetup scale="91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4481" r:id="rId4">
          <objectPr defaultSize="0" autoPict="0" r:id="rId5">
            <anchor moveWithCells="1" sizeWithCells="1">
              <from>
                <xdr:col>0</xdr:col>
                <xdr:colOff>57150</xdr:colOff>
                <xdr:row>1</xdr:row>
                <xdr:rowOff>38100</xdr:rowOff>
              </from>
              <to>
                <xdr:col>1</xdr:col>
                <xdr:colOff>438150</xdr:colOff>
                <xdr:row>4</xdr:row>
                <xdr:rowOff>0</xdr:rowOff>
              </to>
            </anchor>
          </objectPr>
        </oleObject>
      </mc:Choice>
      <mc:Fallback>
        <oleObject progId="MSPhotoEd.3" shapeId="40448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74"/>
  <sheetViews>
    <sheetView topLeftCell="B1" workbookViewId="0">
      <pane xSplit="2" ySplit="40" topLeftCell="D41" activePane="bottomRight" state="frozen"/>
      <selection activeCell="B1" sqref="B1"/>
      <selection pane="topRight" activeCell="D1" sqref="D1"/>
      <selection pane="bottomLeft" activeCell="B41" sqref="B41"/>
      <selection pane="bottomRight" activeCell="K41" sqref="K41"/>
    </sheetView>
  </sheetViews>
  <sheetFormatPr defaultRowHeight="12.75" x14ac:dyDescent="0.2"/>
  <cols>
    <col min="1" max="3" width="9.140625" style="17"/>
    <col min="4" max="4" width="11.5703125" style="17" customWidth="1"/>
    <col min="5" max="5" width="10.5703125" style="17" customWidth="1"/>
    <col min="6" max="6" width="10.85546875" style="17" customWidth="1"/>
    <col min="7" max="7" width="11.140625" style="17" customWidth="1"/>
    <col min="8" max="8" width="15" style="17" customWidth="1"/>
    <col min="9" max="9" width="11.140625" style="17" customWidth="1"/>
    <col min="10" max="11" width="10.42578125" style="17" bestFit="1" customWidth="1"/>
    <col min="12" max="16384" width="9.140625" style="17"/>
  </cols>
  <sheetData>
    <row r="2" spans="1:11" x14ac:dyDescent="0.2">
      <c r="H2" s="144" t="s">
        <v>253</v>
      </c>
    </row>
    <row r="5" spans="1:11" ht="15.75" x14ac:dyDescent="0.25">
      <c r="B5" s="150" t="s">
        <v>236</v>
      </c>
      <c r="C5" s="399" t="s">
        <v>270</v>
      </c>
      <c r="D5" s="399"/>
      <c r="E5" s="399"/>
      <c r="F5" s="399"/>
      <c r="G5" s="399"/>
      <c r="H5" s="399"/>
      <c r="I5" s="399"/>
      <c r="J5" s="207"/>
    </row>
    <row r="6" spans="1:11" x14ac:dyDescent="0.2">
      <c r="B6" s="25"/>
      <c r="C6" s="25"/>
    </row>
    <row r="8" spans="1:11" x14ac:dyDescent="0.2">
      <c r="A8" s="25"/>
      <c r="D8" s="402" t="s">
        <v>210</v>
      </c>
      <c r="E8" s="403"/>
      <c r="F8" s="403"/>
      <c r="G8" s="403"/>
      <c r="H8" s="403"/>
      <c r="I8" s="404"/>
    </row>
    <row r="9" spans="1:11" x14ac:dyDescent="0.2">
      <c r="D9" s="409" t="s">
        <v>211</v>
      </c>
      <c r="E9" s="410"/>
      <c r="F9" s="409" t="s">
        <v>216</v>
      </c>
      <c r="G9" s="415"/>
      <c r="H9" s="415"/>
      <c r="I9" s="405" t="s">
        <v>28</v>
      </c>
    </row>
    <row r="10" spans="1:11" x14ac:dyDescent="0.2">
      <c r="D10" s="411"/>
      <c r="E10" s="412"/>
      <c r="F10" s="411"/>
      <c r="G10" s="416"/>
      <c r="H10" s="416"/>
      <c r="I10" s="406"/>
    </row>
    <row r="11" spans="1:11" ht="38.25" x14ac:dyDescent="0.2">
      <c r="D11" s="258" t="s">
        <v>30</v>
      </c>
      <c r="E11" s="258" t="s">
        <v>212</v>
      </c>
      <c r="F11" s="258" t="s">
        <v>213</v>
      </c>
      <c r="G11" s="258" t="s">
        <v>214</v>
      </c>
      <c r="H11" s="258" t="s">
        <v>215</v>
      </c>
      <c r="I11" s="407"/>
    </row>
    <row r="12" spans="1:11" x14ac:dyDescent="0.2">
      <c r="C12" s="259"/>
      <c r="D12" s="413" t="s">
        <v>209</v>
      </c>
      <c r="E12" s="413"/>
      <c r="F12" s="413"/>
      <c r="G12" s="413"/>
      <c r="H12" s="413"/>
      <c r="I12" s="413"/>
    </row>
    <row r="13" spans="1:11" hidden="1" x14ac:dyDescent="0.2">
      <c r="B13" s="414">
        <v>2006</v>
      </c>
      <c r="C13" s="265" t="s">
        <v>204</v>
      </c>
      <c r="D13" s="260">
        <v>69971.801999999996</v>
      </c>
      <c r="E13" s="266">
        <v>268466.66666666669</v>
      </c>
      <c r="F13" s="266">
        <v>210550.83333333334</v>
      </c>
      <c r="G13" s="266">
        <v>373849.16666666669</v>
      </c>
      <c r="H13" s="266">
        <v>4442870.833333334</v>
      </c>
      <c r="I13" s="266">
        <f>SUM(D13:H13)</f>
        <v>5365709.3020000011</v>
      </c>
      <c r="J13" s="18"/>
      <c r="K13" s="18"/>
    </row>
    <row r="14" spans="1:11" hidden="1" x14ac:dyDescent="0.2">
      <c r="B14" s="414"/>
      <c r="C14" s="123" t="s">
        <v>205</v>
      </c>
      <c r="D14" s="261">
        <v>70558.403999999995</v>
      </c>
      <c r="E14" s="267">
        <v>255275</v>
      </c>
      <c r="F14" s="267">
        <v>209626.66666666669</v>
      </c>
      <c r="G14" s="267">
        <v>366086.66666666669</v>
      </c>
      <c r="H14" s="267">
        <v>4844262.5</v>
      </c>
      <c r="I14" s="267">
        <f t="shared" ref="I14:I60" si="0">SUM(D14:H14)</f>
        <v>5745809.2373333331</v>
      </c>
      <c r="J14" s="18"/>
      <c r="K14" s="18"/>
    </row>
    <row r="15" spans="1:11" hidden="1" x14ac:dyDescent="0.2">
      <c r="B15" s="414"/>
      <c r="C15" s="123" t="s">
        <v>206</v>
      </c>
      <c r="D15" s="261">
        <v>68983.527999999991</v>
      </c>
      <c r="E15" s="267">
        <v>222361.66666666669</v>
      </c>
      <c r="F15" s="267">
        <v>195578.33333333334</v>
      </c>
      <c r="G15" s="267">
        <v>400291.66666666669</v>
      </c>
      <c r="H15" s="267">
        <v>4848601.666666667</v>
      </c>
      <c r="I15" s="267">
        <f t="shared" si="0"/>
        <v>5735816.8613333339</v>
      </c>
      <c r="J15" s="18"/>
      <c r="K15" s="18"/>
    </row>
    <row r="16" spans="1:11" hidden="1" x14ac:dyDescent="0.2">
      <c r="B16" s="414"/>
      <c r="C16" s="262" t="s">
        <v>207</v>
      </c>
      <c r="D16" s="263">
        <v>78188.789000000004</v>
      </c>
      <c r="E16" s="264">
        <v>257544.16666666669</v>
      </c>
      <c r="F16" s="264">
        <v>189502.5</v>
      </c>
      <c r="G16" s="264">
        <v>413949.16666666669</v>
      </c>
      <c r="H16" s="264">
        <v>5378296.666666667</v>
      </c>
      <c r="I16" s="264">
        <f t="shared" si="0"/>
        <v>6317481.2890000008</v>
      </c>
      <c r="J16" s="18"/>
      <c r="K16" s="18"/>
    </row>
    <row r="17" spans="2:11" hidden="1" x14ac:dyDescent="0.2">
      <c r="B17" s="414">
        <v>2007</v>
      </c>
      <c r="C17" s="265" t="s">
        <v>204</v>
      </c>
      <c r="D17" s="260">
        <v>74078.676999999996</v>
      </c>
      <c r="E17" s="266">
        <v>235365.83333333334</v>
      </c>
      <c r="F17" s="266">
        <v>194027.5</v>
      </c>
      <c r="G17" s="266">
        <v>476733.33333333337</v>
      </c>
      <c r="H17" s="266">
        <v>5957815</v>
      </c>
      <c r="I17" s="266">
        <f t="shared" si="0"/>
        <v>6938020.3436666671</v>
      </c>
      <c r="J17" s="18"/>
      <c r="K17" s="18"/>
    </row>
    <row r="18" spans="2:11" hidden="1" x14ac:dyDescent="0.2">
      <c r="B18" s="414"/>
      <c r="C18" s="123" t="s">
        <v>205</v>
      </c>
      <c r="D18" s="261">
        <v>76203.263999999996</v>
      </c>
      <c r="E18" s="267">
        <v>208759.16666666669</v>
      </c>
      <c r="F18" s="267">
        <v>195575.83333333334</v>
      </c>
      <c r="G18" s="267">
        <v>405447.5</v>
      </c>
      <c r="H18" s="267">
        <v>6085154.166666667</v>
      </c>
      <c r="I18" s="267">
        <f t="shared" si="0"/>
        <v>6971139.9306666674</v>
      </c>
      <c r="J18" s="18"/>
      <c r="K18" s="18"/>
    </row>
    <row r="19" spans="2:11" hidden="1" x14ac:dyDescent="0.2">
      <c r="B19" s="414"/>
      <c r="C19" s="123" t="s">
        <v>206</v>
      </c>
      <c r="D19" s="261">
        <v>75729.08600000001</v>
      </c>
      <c r="E19" s="267">
        <v>233949.16666666669</v>
      </c>
      <c r="F19" s="267">
        <v>196257.5</v>
      </c>
      <c r="G19" s="267">
        <v>456523.33333333337</v>
      </c>
      <c r="H19" s="267">
        <v>4199362.5</v>
      </c>
      <c r="I19" s="267">
        <f t="shared" si="0"/>
        <v>5161821.5860000001</v>
      </c>
      <c r="J19" s="18"/>
      <c r="K19" s="18"/>
    </row>
    <row r="20" spans="2:11" hidden="1" x14ac:dyDescent="0.2">
      <c r="B20" s="414"/>
      <c r="C20" s="262" t="s">
        <v>207</v>
      </c>
      <c r="D20" s="263">
        <v>81836.650999999998</v>
      </c>
      <c r="E20" s="264">
        <v>239913.33333333334</v>
      </c>
      <c r="F20" s="264">
        <v>180621.66666666669</v>
      </c>
      <c r="G20" s="264">
        <v>411695.83333333337</v>
      </c>
      <c r="H20" s="264">
        <v>4500640</v>
      </c>
      <c r="I20" s="264">
        <f t="shared" si="0"/>
        <v>5414707.4843333336</v>
      </c>
      <c r="J20" s="18"/>
      <c r="K20" s="18"/>
    </row>
    <row r="21" spans="2:11" hidden="1" x14ac:dyDescent="0.2">
      <c r="B21" s="414">
        <v>2008</v>
      </c>
      <c r="C21" s="265" t="s">
        <v>204</v>
      </c>
      <c r="D21" s="260">
        <v>75742.676000000007</v>
      </c>
      <c r="E21" s="266">
        <v>261894.16666666669</v>
      </c>
      <c r="F21" s="266">
        <v>190406.66666666669</v>
      </c>
      <c r="G21" s="266">
        <v>452748.33333333337</v>
      </c>
      <c r="H21" s="266">
        <v>4581980.833333334</v>
      </c>
      <c r="I21" s="266">
        <f t="shared" si="0"/>
        <v>5562772.6760000009</v>
      </c>
      <c r="J21" s="18"/>
      <c r="K21" s="18"/>
    </row>
    <row r="22" spans="2:11" hidden="1" x14ac:dyDescent="0.2">
      <c r="B22" s="414"/>
      <c r="C22" s="123" t="s">
        <v>205</v>
      </c>
      <c r="D22" s="261">
        <v>78794.627999999997</v>
      </c>
      <c r="E22" s="267">
        <v>239584.16666666669</v>
      </c>
      <c r="F22" s="267">
        <v>201110.83333333334</v>
      </c>
      <c r="G22" s="267">
        <v>528285</v>
      </c>
      <c r="H22" s="267">
        <v>3950301.666666667</v>
      </c>
      <c r="I22" s="267">
        <f t="shared" si="0"/>
        <v>4998076.2946666665</v>
      </c>
      <c r="J22" s="18"/>
      <c r="K22" s="18"/>
    </row>
    <row r="23" spans="2:11" hidden="1" x14ac:dyDescent="0.2">
      <c r="B23" s="414"/>
      <c r="C23" s="123" t="s">
        <v>206</v>
      </c>
      <c r="D23" s="261">
        <v>77306.422999999995</v>
      </c>
      <c r="E23" s="267">
        <v>248888.33333333334</v>
      </c>
      <c r="F23" s="267">
        <v>265257.5</v>
      </c>
      <c r="G23" s="267">
        <v>452889.16666666669</v>
      </c>
      <c r="H23" s="267">
        <v>3627041.666666667</v>
      </c>
      <c r="I23" s="267">
        <f t="shared" si="0"/>
        <v>4671383.0896666665</v>
      </c>
      <c r="J23" s="18"/>
      <c r="K23" s="18"/>
    </row>
    <row r="24" spans="2:11" hidden="1" x14ac:dyDescent="0.2">
      <c r="B24" s="414"/>
      <c r="C24" s="262" t="s">
        <v>207</v>
      </c>
      <c r="D24" s="263">
        <v>83600.459000000003</v>
      </c>
      <c r="E24" s="264">
        <v>250728.00255833336</v>
      </c>
      <c r="F24" s="264">
        <v>221914.10134166668</v>
      </c>
      <c r="G24" s="264">
        <v>461429.52263333334</v>
      </c>
      <c r="H24" s="264">
        <v>4550514.1744333329</v>
      </c>
      <c r="I24" s="264">
        <f t="shared" si="0"/>
        <v>5568186.2599666659</v>
      </c>
      <c r="J24" s="18"/>
      <c r="K24" s="18"/>
    </row>
    <row r="25" spans="2:11" hidden="1" x14ac:dyDescent="0.2">
      <c r="B25" s="414">
        <v>2009</v>
      </c>
      <c r="C25" s="265" t="s">
        <v>204</v>
      </c>
      <c r="D25" s="260">
        <v>82640.596000000005</v>
      </c>
      <c r="E25" s="266">
        <v>277488.33333333337</v>
      </c>
      <c r="F25" s="266">
        <v>231135</v>
      </c>
      <c r="G25" s="266">
        <v>456135.83333333337</v>
      </c>
      <c r="H25" s="266">
        <v>6857927.5</v>
      </c>
      <c r="I25" s="266">
        <f t="shared" si="0"/>
        <v>7905327.2626666669</v>
      </c>
      <c r="J25" s="18"/>
      <c r="K25" s="18"/>
    </row>
    <row r="26" spans="2:11" hidden="1" x14ac:dyDescent="0.2">
      <c r="B26" s="414"/>
      <c r="C26" s="123" t="s">
        <v>205</v>
      </c>
      <c r="D26" s="261">
        <v>83536.972999999998</v>
      </c>
      <c r="E26" s="267">
        <v>289149.16666666669</v>
      </c>
      <c r="F26" s="267">
        <v>247641.66666666669</v>
      </c>
      <c r="G26" s="267">
        <v>393505</v>
      </c>
      <c r="H26" s="267">
        <v>4719031.666666667</v>
      </c>
      <c r="I26" s="267">
        <f t="shared" si="0"/>
        <v>5732864.4730000002</v>
      </c>
      <c r="J26" s="18"/>
      <c r="K26" s="18"/>
    </row>
    <row r="27" spans="2:11" hidden="1" x14ac:dyDescent="0.2">
      <c r="B27" s="414"/>
      <c r="C27" s="123" t="s">
        <v>206</v>
      </c>
      <c r="D27" s="261">
        <v>79321.472999999998</v>
      </c>
      <c r="E27" s="267">
        <v>285335.83333333337</v>
      </c>
      <c r="F27" s="267">
        <v>229122.5</v>
      </c>
      <c r="G27" s="267">
        <v>420684.16666666669</v>
      </c>
      <c r="H27" s="267">
        <v>4443925</v>
      </c>
      <c r="I27" s="267">
        <f t="shared" si="0"/>
        <v>5458388.9730000002</v>
      </c>
      <c r="J27" s="18"/>
      <c r="K27" s="18"/>
    </row>
    <row r="28" spans="2:11" hidden="1" x14ac:dyDescent="0.2">
      <c r="B28" s="414"/>
      <c r="C28" s="262" t="s">
        <v>207</v>
      </c>
      <c r="D28" s="263">
        <v>87513.600000000006</v>
      </c>
      <c r="E28" s="264">
        <v>254507.5</v>
      </c>
      <c r="F28" s="264">
        <v>230244.16666666669</v>
      </c>
      <c r="G28" s="264">
        <v>389888.33333333337</v>
      </c>
      <c r="H28" s="264">
        <v>4987487.5</v>
      </c>
      <c r="I28" s="264">
        <f t="shared" si="0"/>
        <v>5949641.0999999996</v>
      </c>
      <c r="J28" s="18"/>
      <c r="K28" s="18"/>
    </row>
    <row r="29" spans="2:11" hidden="1" x14ac:dyDescent="0.2">
      <c r="B29" s="414">
        <v>2010</v>
      </c>
      <c r="C29" s="265" t="s">
        <v>204</v>
      </c>
      <c r="D29" s="260">
        <v>82258.593999999997</v>
      </c>
      <c r="E29" s="266">
        <v>294652.5</v>
      </c>
      <c r="F29" s="266">
        <v>238870.83333333334</v>
      </c>
      <c r="G29" s="266">
        <v>430488.33333333337</v>
      </c>
      <c r="H29" s="266">
        <v>4978509.166666667</v>
      </c>
      <c r="I29" s="266">
        <f t="shared" si="0"/>
        <v>6024779.4273333335</v>
      </c>
      <c r="J29" s="18"/>
      <c r="K29" s="18"/>
    </row>
    <row r="30" spans="2:11" hidden="1" x14ac:dyDescent="0.2">
      <c r="B30" s="414"/>
      <c r="C30" s="123" t="s">
        <v>205</v>
      </c>
      <c r="D30" s="261">
        <v>77985.289000000004</v>
      </c>
      <c r="E30" s="267">
        <v>285379.16666666669</v>
      </c>
      <c r="F30" s="267">
        <v>250083.33333333334</v>
      </c>
      <c r="G30" s="267">
        <v>373764.16666666669</v>
      </c>
      <c r="H30" s="267">
        <v>5159128.333333334</v>
      </c>
      <c r="I30" s="267">
        <f t="shared" si="0"/>
        <v>6146340.2890000008</v>
      </c>
      <c r="J30" s="18"/>
      <c r="K30" s="18"/>
    </row>
    <row r="31" spans="2:11" hidden="1" x14ac:dyDescent="0.2">
      <c r="B31" s="414"/>
      <c r="C31" s="123" t="s">
        <v>206</v>
      </c>
      <c r="D31" s="261">
        <v>78276.737999999998</v>
      </c>
      <c r="E31" s="267">
        <v>259204.16666666669</v>
      </c>
      <c r="F31" s="267">
        <v>239070</v>
      </c>
      <c r="G31" s="267">
        <v>359800.83333333337</v>
      </c>
      <c r="H31" s="267">
        <v>4328948.333333334</v>
      </c>
      <c r="I31" s="267">
        <f t="shared" si="0"/>
        <v>5265300.0713333338</v>
      </c>
      <c r="J31" s="18"/>
      <c r="K31" s="18"/>
    </row>
    <row r="32" spans="2:11" hidden="1" x14ac:dyDescent="0.2">
      <c r="B32" s="414"/>
      <c r="C32" s="262" t="s">
        <v>207</v>
      </c>
      <c r="D32" s="263">
        <v>85191.21</v>
      </c>
      <c r="E32" s="264">
        <v>298897.5</v>
      </c>
      <c r="F32" s="264">
        <v>241088.33333333334</v>
      </c>
      <c r="G32" s="264">
        <v>355960.83333333337</v>
      </c>
      <c r="H32" s="264">
        <v>4326234.166666667</v>
      </c>
      <c r="I32" s="264">
        <f t="shared" si="0"/>
        <v>5307372.0433333339</v>
      </c>
      <c r="J32" s="18"/>
      <c r="K32" s="18"/>
    </row>
    <row r="33" spans="2:11" hidden="1" x14ac:dyDescent="0.2">
      <c r="B33" s="414">
        <v>2011</v>
      </c>
      <c r="C33" s="265" t="s">
        <v>204</v>
      </c>
      <c r="D33" s="260">
        <v>85581.006999999998</v>
      </c>
      <c r="E33" s="266">
        <v>290756.66666666669</v>
      </c>
      <c r="F33" s="266">
        <v>259992.5</v>
      </c>
      <c r="G33" s="266">
        <v>383979.16666666669</v>
      </c>
      <c r="H33" s="266">
        <v>4546655</v>
      </c>
      <c r="I33" s="266">
        <f t="shared" si="0"/>
        <v>5566964.3403333332</v>
      </c>
      <c r="J33" s="18"/>
      <c r="K33" s="18"/>
    </row>
    <row r="34" spans="2:11" hidden="1" x14ac:dyDescent="0.2">
      <c r="B34" s="414"/>
      <c r="C34" s="123" t="s">
        <v>205</v>
      </c>
      <c r="D34" s="261">
        <v>84920.319000000003</v>
      </c>
      <c r="E34" s="267">
        <v>294513.33333333337</v>
      </c>
      <c r="F34" s="267">
        <v>274879.16666666669</v>
      </c>
      <c r="G34" s="267">
        <v>379529.16666666669</v>
      </c>
      <c r="H34" s="267">
        <v>4398977.5</v>
      </c>
      <c r="I34" s="267">
        <f t="shared" si="0"/>
        <v>5432819.4856666671</v>
      </c>
      <c r="J34" s="18"/>
      <c r="K34" s="18"/>
    </row>
    <row r="35" spans="2:11" hidden="1" x14ac:dyDescent="0.2">
      <c r="B35" s="414"/>
      <c r="C35" s="123" t="s">
        <v>206</v>
      </c>
      <c r="D35" s="261">
        <v>82051.64</v>
      </c>
      <c r="E35" s="267">
        <v>287227.5</v>
      </c>
      <c r="F35" s="267">
        <v>265795</v>
      </c>
      <c r="G35" s="267">
        <v>351215.83333333337</v>
      </c>
      <c r="H35" s="267">
        <v>4174852.5</v>
      </c>
      <c r="I35" s="267">
        <f t="shared" si="0"/>
        <v>5161142.4733333336</v>
      </c>
      <c r="J35" s="18"/>
      <c r="K35" s="18"/>
    </row>
    <row r="36" spans="2:11" hidden="1" x14ac:dyDescent="0.2">
      <c r="B36" s="414"/>
      <c r="C36" s="262" t="s">
        <v>207</v>
      </c>
      <c r="D36" s="263">
        <v>89718.570999999996</v>
      </c>
      <c r="E36" s="264">
        <v>237706.66666666669</v>
      </c>
      <c r="F36" s="264">
        <v>263706.66666666669</v>
      </c>
      <c r="G36" s="264">
        <v>344732.5</v>
      </c>
      <c r="H36" s="264">
        <v>3817020.8333333335</v>
      </c>
      <c r="I36" s="264">
        <f t="shared" si="0"/>
        <v>4752885.2376666665</v>
      </c>
      <c r="J36" s="18"/>
      <c r="K36" s="18"/>
    </row>
    <row r="37" spans="2:11" hidden="1" x14ac:dyDescent="0.2">
      <c r="B37" s="414">
        <v>2012</v>
      </c>
      <c r="C37" s="265" t="s">
        <v>204</v>
      </c>
      <c r="D37" s="260">
        <v>85388.03</v>
      </c>
      <c r="E37" s="266">
        <v>340288.33333333337</v>
      </c>
      <c r="F37" s="266">
        <v>277215</v>
      </c>
      <c r="G37" s="266">
        <v>369615</v>
      </c>
      <c r="H37" s="266">
        <v>4102322.5</v>
      </c>
      <c r="I37" s="266">
        <f t="shared" si="0"/>
        <v>5174828.8633333333</v>
      </c>
      <c r="J37" s="18"/>
      <c r="K37" s="18"/>
    </row>
    <row r="38" spans="2:11" hidden="1" x14ac:dyDescent="0.2">
      <c r="B38" s="414"/>
      <c r="C38" s="123" t="s">
        <v>205</v>
      </c>
      <c r="D38" s="261">
        <v>88696.168999999994</v>
      </c>
      <c r="E38" s="267">
        <v>365107.5</v>
      </c>
      <c r="F38" s="267">
        <v>322763.33333333337</v>
      </c>
      <c r="G38" s="267">
        <v>366958.33333333337</v>
      </c>
      <c r="H38" s="267">
        <v>4153410.8333333335</v>
      </c>
      <c r="I38" s="267">
        <f t="shared" si="0"/>
        <v>5296936.1689999998</v>
      </c>
      <c r="J38" s="18"/>
      <c r="K38" s="18"/>
    </row>
    <row r="39" spans="2:11" hidden="1" x14ac:dyDescent="0.2">
      <c r="B39" s="414"/>
      <c r="C39" s="123" t="s">
        <v>206</v>
      </c>
      <c r="D39" s="261">
        <v>86916.615000000005</v>
      </c>
      <c r="E39" s="267">
        <v>307396.66666666669</v>
      </c>
      <c r="F39" s="267">
        <v>314897.5</v>
      </c>
      <c r="G39" s="267">
        <v>349238.33333333337</v>
      </c>
      <c r="H39" s="267">
        <v>3891031.666666667</v>
      </c>
      <c r="I39" s="267">
        <f t="shared" si="0"/>
        <v>4949480.7816666672</v>
      </c>
      <c r="J39" s="18"/>
      <c r="K39" s="18"/>
    </row>
    <row r="40" spans="2:11" hidden="1" x14ac:dyDescent="0.2">
      <c r="B40" s="414"/>
      <c r="C40" s="262" t="s">
        <v>207</v>
      </c>
      <c r="D40" s="263">
        <v>86916.615000000005</v>
      </c>
      <c r="E40" s="264">
        <v>337012.5</v>
      </c>
      <c r="F40" s="264">
        <v>323231.66666666669</v>
      </c>
      <c r="G40" s="264">
        <v>363195</v>
      </c>
      <c r="H40" s="264">
        <v>4138320</v>
      </c>
      <c r="I40" s="264">
        <f t="shared" si="0"/>
        <v>5248675.7816666663</v>
      </c>
      <c r="J40" s="18"/>
      <c r="K40" s="18"/>
    </row>
    <row r="41" spans="2:11" x14ac:dyDescent="0.2">
      <c r="B41" s="414">
        <v>2013</v>
      </c>
      <c r="C41" s="265" t="s">
        <v>204</v>
      </c>
      <c r="D41" s="260">
        <v>89014.84</v>
      </c>
      <c r="E41" s="266">
        <v>391693.33333333337</v>
      </c>
      <c r="F41" s="266">
        <v>279467.5</v>
      </c>
      <c r="G41" s="266">
        <v>380061.66666666669</v>
      </c>
      <c r="H41" s="266">
        <v>4390571.666666667</v>
      </c>
      <c r="I41" s="266">
        <f t="shared" si="0"/>
        <v>5530809.0066666668</v>
      </c>
      <c r="J41" s="18"/>
      <c r="K41" s="18"/>
    </row>
    <row r="42" spans="2:11" x14ac:dyDescent="0.2">
      <c r="B42" s="414"/>
      <c r="C42" s="123" t="s">
        <v>205</v>
      </c>
      <c r="D42" s="261">
        <v>87228.986999999994</v>
      </c>
      <c r="E42" s="267">
        <v>444897.5</v>
      </c>
      <c r="F42" s="267">
        <v>271846.66666666669</v>
      </c>
      <c r="G42" s="267">
        <v>348155</v>
      </c>
      <c r="H42" s="267">
        <v>4156541.666666667</v>
      </c>
      <c r="I42" s="267">
        <f t="shared" si="0"/>
        <v>5308669.8203333337</v>
      </c>
      <c r="J42" s="18"/>
      <c r="K42" s="18"/>
    </row>
    <row r="43" spans="2:11" x14ac:dyDescent="0.2">
      <c r="B43" s="414"/>
      <c r="C43" s="123" t="s">
        <v>206</v>
      </c>
      <c r="D43" s="261">
        <v>88798.201000000001</v>
      </c>
      <c r="E43" s="267">
        <v>422332.5</v>
      </c>
      <c r="F43" s="267">
        <v>264407.5</v>
      </c>
      <c r="G43" s="267">
        <v>345059.16666666669</v>
      </c>
      <c r="H43" s="267">
        <v>4144666.666666667</v>
      </c>
      <c r="I43" s="267">
        <f t="shared" si="0"/>
        <v>5265264.0343333334</v>
      </c>
      <c r="J43" s="18"/>
      <c r="K43" s="18"/>
    </row>
    <row r="44" spans="2:11" x14ac:dyDescent="0.2">
      <c r="B44" s="414"/>
      <c r="C44" s="262" t="s">
        <v>207</v>
      </c>
      <c r="D44" s="263">
        <v>96176.724000000002</v>
      </c>
      <c r="E44" s="264">
        <v>403081.66666666669</v>
      </c>
      <c r="F44" s="264">
        <v>268218.33333333337</v>
      </c>
      <c r="G44" s="264">
        <v>339165.83333333337</v>
      </c>
      <c r="H44" s="264">
        <v>4781756.666666667</v>
      </c>
      <c r="I44" s="264">
        <f t="shared" si="0"/>
        <v>5888399.2240000004</v>
      </c>
      <c r="J44" s="18"/>
      <c r="K44" s="18"/>
    </row>
    <row r="45" spans="2:11" x14ac:dyDescent="0.2">
      <c r="B45" s="414">
        <v>2014</v>
      </c>
      <c r="C45" s="265" t="s">
        <v>204</v>
      </c>
      <c r="D45" s="260">
        <v>91720.222999999998</v>
      </c>
      <c r="E45" s="266">
        <v>447365.83333333337</v>
      </c>
      <c r="F45" s="266">
        <v>277409.16666666669</v>
      </c>
      <c r="G45" s="266">
        <v>419081.66666666669</v>
      </c>
      <c r="H45" s="266">
        <v>4415331.666666667</v>
      </c>
      <c r="I45" s="266">
        <f t="shared" si="0"/>
        <v>5650908.5563333333</v>
      </c>
      <c r="J45" s="18"/>
      <c r="K45" s="18"/>
    </row>
    <row r="46" spans="2:11" x14ac:dyDescent="0.2">
      <c r="B46" s="414"/>
      <c r="C46" s="123" t="s">
        <v>205</v>
      </c>
      <c r="D46" s="261">
        <v>91720.11</v>
      </c>
      <c r="E46" s="267">
        <v>457479.16666666669</v>
      </c>
      <c r="F46" s="267">
        <v>286904.16666666669</v>
      </c>
      <c r="G46" s="267">
        <v>401077.5</v>
      </c>
      <c r="H46" s="267">
        <v>4120774.166666667</v>
      </c>
      <c r="I46" s="267">
        <f t="shared" si="0"/>
        <v>5357955.1100000003</v>
      </c>
      <c r="J46" s="18"/>
      <c r="K46" s="18"/>
    </row>
    <row r="47" spans="2:11" x14ac:dyDescent="0.2">
      <c r="B47" s="414"/>
      <c r="C47" s="123" t="s">
        <v>206</v>
      </c>
      <c r="D47" s="261">
        <v>89496.654999999999</v>
      </c>
      <c r="E47" s="267">
        <v>420239.16666666669</v>
      </c>
      <c r="F47" s="267">
        <v>279714.16666666669</v>
      </c>
      <c r="G47" s="267">
        <v>401093.33333333337</v>
      </c>
      <c r="H47" s="267">
        <v>3949764.166666667</v>
      </c>
      <c r="I47" s="267">
        <f t="shared" si="0"/>
        <v>5140307.4883333333</v>
      </c>
      <c r="J47" s="18"/>
      <c r="K47" s="18"/>
    </row>
    <row r="48" spans="2:11" x14ac:dyDescent="0.2">
      <c r="B48" s="414"/>
      <c r="C48" s="262" t="s">
        <v>207</v>
      </c>
      <c r="D48" s="263">
        <v>95503.104000000007</v>
      </c>
      <c r="E48" s="264">
        <v>460587.5</v>
      </c>
      <c r="F48" s="264">
        <v>276093.33333333337</v>
      </c>
      <c r="G48" s="264">
        <v>376867.5</v>
      </c>
      <c r="H48" s="264">
        <v>3723344.166666667</v>
      </c>
      <c r="I48" s="264">
        <f t="shared" si="0"/>
        <v>4932395.6040000003</v>
      </c>
      <c r="J48" s="18"/>
      <c r="K48" s="18"/>
    </row>
    <row r="49" spans="2:11" x14ac:dyDescent="0.2">
      <c r="B49" s="414">
        <v>2015</v>
      </c>
      <c r="C49" s="265" t="s">
        <v>204</v>
      </c>
      <c r="D49" s="260">
        <v>92958.875</v>
      </c>
      <c r="E49" s="266">
        <v>477789.16666666669</v>
      </c>
      <c r="F49" s="266">
        <v>282445</v>
      </c>
      <c r="G49" s="266">
        <v>480488.33333333337</v>
      </c>
      <c r="H49" s="266">
        <v>3573590.8333333335</v>
      </c>
      <c r="I49" s="266">
        <f t="shared" si="0"/>
        <v>4907272.208333334</v>
      </c>
      <c r="J49" s="18"/>
      <c r="K49" s="18"/>
    </row>
    <row r="50" spans="2:11" x14ac:dyDescent="0.2">
      <c r="B50" s="414"/>
      <c r="C50" s="123" t="s">
        <v>205</v>
      </c>
      <c r="D50" s="261">
        <v>94887.129000000001</v>
      </c>
      <c r="E50" s="267">
        <v>487415</v>
      </c>
      <c r="F50" s="267">
        <v>286705.83333333337</v>
      </c>
      <c r="G50" s="267">
        <v>451686.66666666669</v>
      </c>
      <c r="H50" s="267">
        <v>3695712.5</v>
      </c>
      <c r="I50" s="267">
        <f t="shared" si="0"/>
        <v>5016407.1289999997</v>
      </c>
      <c r="J50" s="18"/>
      <c r="K50" s="18"/>
    </row>
    <row r="51" spans="2:11" x14ac:dyDescent="0.2">
      <c r="B51" s="414"/>
      <c r="C51" s="123" t="s">
        <v>206</v>
      </c>
      <c r="D51" s="261">
        <v>99743.339000000007</v>
      </c>
      <c r="E51" s="267">
        <v>457055</v>
      </c>
      <c r="F51" s="267">
        <v>291713.33333333337</v>
      </c>
      <c r="G51" s="267">
        <v>414801.66666666669</v>
      </c>
      <c r="H51" s="267">
        <v>4190890</v>
      </c>
      <c r="I51" s="267">
        <f t="shared" si="0"/>
        <v>5454203.3389999997</v>
      </c>
      <c r="J51" s="18"/>
      <c r="K51" s="18"/>
    </row>
    <row r="52" spans="2:11" x14ac:dyDescent="0.2">
      <c r="B52" s="414"/>
      <c r="C52" s="262" t="s">
        <v>207</v>
      </c>
      <c r="D52" s="263">
        <v>107707.05899999999</v>
      </c>
      <c r="E52" s="264">
        <v>505260</v>
      </c>
      <c r="F52" s="264">
        <v>304016.66666666669</v>
      </c>
      <c r="G52" s="264">
        <v>477547.5</v>
      </c>
      <c r="H52" s="264">
        <v>4503429.166666667</v>
      </c>
      <c r="I52" s="264">
        <f t="shared" si="0"/>
        <v>5897960.3923333334</v>
      </c>
      <c r="J52" s="18"/>
      <c r="K52" s="18"/>
    </row>
    <row r="53" spans="2:11" x14ac:dyDescent="0.2">
      <c r="B53" s="414">
        <v>2016</v>
      </c>
      <c r="C53" s="265" t="s">
        <v>204</v>
      </c>
      <c r="D53" s="260">
        <v>104708.12300000001</v>
      </c>
      <c r="E53" s="266">
        <v>533928.33333333302</v>
      </c>
      <c r="F53" s="266">
        <v>306228.33333333337</v>
      </c>
      <c r="G53" s="266">
        <v>487378.33333333337</v>
      </c>
      <c r="H53" s="266">
        <v>4686085.833333334</v>
      </c>
      <c r="I53" s="266">
        <f t="shared" si="0"/>
        <v>6118328.9563333336</v>
      </c>
      <c r="J53" s="18"/>
      <c r="K53" s="18"/>
    </row>
    <row r="54" spans="2:11" x14ac:dyDescent="0.2">
      <c r="B54" s="414"/>
      <c r="C54" s="123" t="s">
        <v>205</v>
      </c>
      <c r="D54" s="261">
        <v>106876.46799999999</v>
      </c>
      <c r="E54" s="267">
        <v>570787.5</v>
      </c>
      <c r="F54" s="267">
        <v>308349.16666666669</v>
      </c>
      <c r="G54" s="267">
        <v>467288.33333333337</v>
      </c>
      <c r="H54" s="267">
        <v>4448191.666666667</v>
      </c>
      <c r="I54" s="267">
        <f t="shared" si="0"/>
        <v>5901493.1346666664</v>
      </c>
      <c r="J54" s="18"/>
      <c r="K54" s="18"/>
    </row>
    <row r="55" spans="2:11" x14ac:dyDescent="0.2">
      <c r="B55" s="414"/>
      <c r="C55" s="123" t="s">
        <v>206</v>
      </c>
      <c r="D55" s="261">
        <v>109081.505</v>
      </c>
      <c r="E55" s="267">
        <v>553508.46014333295</v>
      </c>
      <c r="F55" s="267">
        <v>315162.5</v>
      </c>
      <c r="G55" s="267">
        <v>451237.5</v>
      </c>
      <c r="H55" s="267">
        <v>4391359.166666667</v>
      </c>
      <c r="I55" s="267">
        <f t="shared" si="0"/>
        <v>5820349.1318100002</v>
      </c>
      <c r="J55" s="18"/>
      <c r="K55" s="18"/>
    </row>
    <row r="56" spans="2:11" x14ac:dyDescent="0.2">
      <c r="B56" s="414"/>
      <c r="C56" s="262" t="s">
        <v>207</v>
      </c>
      <c r="D56" s="263">
        <v>115635.374</v>
      </c>
      <c r="E56" s="264">
        <v>595925</v>
      </c>
      <c r="F56" s="264">
        <v>323910.83333333337</v>
      </c>
      <c r="G56" s="264">
        <v>498855</v>
      </c>
      <c r="H56" s="264">
        <v>4620959.166666667</v>
      </c>
      <c r="I56" s="264">
        <f t="shared" si="0"/>
        <v>6155285.3739999998</v>
      </c>
      <c r="J56" s="18"/>
      <c r="K56" s="18"/>
    </row>
    <row r="57" spans="2:11" x14ac:dyDescent="0.2">
      <c r="B57" s="414">
        <v>2017</v>
      </c>
      <c r="C57" s="265" t="s">
        <v>204</v>
      </c>
      <c r="D57" s="260">
        <v>109489.90700000001</v>
      </c>
      <c r="E57" s="266">
        <v>589705.12681000005</v>
      </c>
      <c r="F57" s="266">
        <v>316930</v>
      </c>
      <c r="G57" s="266">
        <v>576115.83333333302</v>
      </c>
      <c r="H57" s="266">
        <v>4665351.6666666698</v>
      </c>
      <c r="I57" s="266">
        <f t="shared" si="0"/>
        <v>6257592.5338100027</v>
      </c>
      <c r="J57" s="18"/>
      <c r="K57" s="18"/>
    </row>
    <row r="58" spans="2:11" x14ac:dyDescent="0.2">
      <c r="B58" s="414"/>
      <c r="C58" s="123" t="s">
        <v>205</v>
      </c>
      <c r="D58" s="261">
        <v>112232.20299999999</v>
      </c>
      <c r="E58" s="267">
        <v>591360.12681000005</v>
      </c>
      <c r="F58" s="267">
        <v>331094.16666666698</v>
      </c>
      <c r="G58" s="267">
        <v>532877.5</v>
      </c>
      <c r="H58" s="267">
        <v>4895691.6666666698</v>
      </c>
      <c r="I58" s="267">
        <f t="shared" si="0"/>
        <v>6463255.6631433368</v>
      </c>
      <c r="J58" s="18"/>
      <c r="K58" s="18"/>
    </row>
    <row r="59" spans="2:11" x14ac:dyDescent="0.2">
      <c r="B59" s="414"/>
      <c r="C59" s="123" t="s">
        <v>206</v>
      </c>
      <c r="D59" s="261">
        <v>111413.336</v>
      </c>
      <c r="E59" s="267">
        <v>610305.83333333302</v>
      </c>
      <c r="F59" s="267">
        <v>310204.16666666698</v>
      </c>
      <c r="G59" s="267">
        <v>494604.16666666698</v>
      </c>
      <c r="H59" s="267">
        <v>4973604.1666666698</v>
      </c>
      <c r="I59" s="267">
        <f t="shared" si="0"/>
        <v>6500131.6693333369</v>
      </c>
      <c r="J59" s="18"/>
      <c r="K59" s="18"/>
    </row>
    <row r="60" spans="2:11" x14ac:dyDescent="0.2">
      <c r="B60" s="414"/>
      <c r="C60" s="262" t="s">
        <v>207</v>
      </c>
      <c r="D60" s="263">
        <v>119544.141</v>
      </c>
      <c r="E60" s="264">
        <v>648049.29347666702</v>
      </c>
      <c r="F60" s="264">
        <v>355623.33333333302</v>
      </c>
      <c r="G60" s="264">
        <v>526627.5</v>
      </c>
      <c r="H60" s="264">
        <v>5636011.6666666698</v>
      </c>
      <c r="I60" s="264">
        <f t="shared" si="0"/>
        <v>7285855.9344766699</v>
      </c>
      <c r="J60" s="18"/>
      <c r="K60" s="18"/>
    </row>
    <row r="61" spans="2:11" x14ac:dyDescent="0.2">
      <c r="B61" s="414">
        <v>2018</v>
      </c>
      <c r="C61" s="265" t="s">
        <v>204</v>
      </c>
      <c r="D61" s="260">
        <v>116616.85</v>
      </c>
      <c r="E61" s="266">
        <v>635495</v>
      </c>
      <c r="F61" s="266">
        <v>392773.33333333337</v>
      </c>
      <c r="G61" s="266">
        <v>620898.33333333337</v>
      </c>
      <c r="H61" s="266">
        <v>5446434.166666667</v>
      </c>
      <c r="I61" s="266">
        <v>7212217.6833333345</v>
      </c>
      <c r="J61" s="18"/>
      <c r="K61" s="18"/>
    </row>
    <row r="62" spans="2:11" x14ac:dyDescent="0.2">
      <c r="B62" s="414"/>
      <c r="C62" s="123" t="s">
        <v>205</v>
      </c>
      <c r="D62" s="261">
        <v>117917.07799999999</v>
      </c>
      <c r="E62" s="267">
        <v>591380.65916666668</v>
      </c>
      <c r="F62" s="267">
        <v>398242.92500000005</v>
      </c>
      <c r="G62" s="267">
        <v>574862.04333333345</v>
      </c>
      <c r="H62" s="267">
        <v>5005872.7640833333</v>
      </c>
      <c r="I62" s="267">
        <v>6688275.4695833325</v>
      </c>
      <c r="J62" s="18"/>
      <c r="K62" s="18"/>
    </row>
    <row r="63" spans="2:11" x14ac:dyDescent="0.2">
      <c r="B63" s="414"/>
      <c r="C63" s="123" t="s">
        <v>206</v>
      </c>
      <c r="D63" s="261">
        <v>116738.696</v>
      </c>
      <c r="E63" s="267">
        <v>588352.40333333332</v>
      </c>
      <c r="F63" s="267">
        <v>398130.76750000002</v>
      </c>
      <c r="G63" s="267">
        <v>536173.92416666669</v>
      </c>
      <c r="H63" s="267">
        <v>5003292.4332500007</v>
      </c>
      <c r="I63" s="267">
        <v>6642688.2242500009</v>
      </c>
      <c r="J63" s="18"/>
      <c r="K63" s="18"/>
    </row>
    <row r="64" spans="2:11" x14ac:dyDescent="0.2">
      <c r="B64" s="414"/>
      <c r="C64" s="262" t="s">
        <v>207</v>
      </c>
      <c r="D64" s="263">
        <v>126608.943</v>
      </c>
      <c r="E64" s="264">
        <v>643405.83333333337</v>
      </c>
      <c r="F64" s="264">
        <v>396614.10083333333</v>
      </c>
      <c r="G64" s="264">
        <v>570937.70750000014</v>
      </c>
      <c r="H64" s="264">
        <v>5636922.3925000001</v>
      </c>
      <c r="I64" s="264">
        <v>7374488.9771666666</v>
      </c>
    </row>
    <row r="65" spans="2:9" x14ac:dyDescent="0.2">
      <c r="B65" s="414">
        <v>2019</v>
      </c>
      <c r="C65" s="265" t="s">
        <v>204</v>
      </c>
      <c r="D65" s="260">
        <v>122715.285</v>
      </c>
      <c r="E65" s="266">
        <v>617420</v>
      </c>
      <c r="F65" s="266">
        <v>401451.66666666669</v>
      </c>
      <c r="G65" s="266">
        <v>776570</v>
      </c>
      <c r="H65" s="266">
        <v>5432991.666666667</v>
      </c>
      <c r="I65" s="266">
        <v>7351148.6183333332</v>
      </c>
    </row>
    <row r="66" spans="2:9" x14ac:dyDescent="0.2">
      <c r="B66" s="414"/>
      <c r="C66" s="123" t="s">
        <v>205</v>
      </c>
      <c r="D66" s="261">
        <v>124093.24</v>
      </c>
      <c r="E66" s="267">
        <v>645208.06927500002</v>
      </c>
      <c r="F66" s="267">
        <v>398500.36070833332</v>
      </c>
      <c r="G66" s="267">
        <v>685200.09025000001</v>
      </c>
      <c r="H66" s="267">
        <v>5543425.1906916667</v>
      </c>
      <c r="I66" s="267">
        <v>7396426.950925</v>
      </c>
    </row>
    <row r="67" spans="2:9" x14ac:dyDescent="0.2">
      <c r="B67" s="414"/>
      <c r="C67" s="123" t="s">
        <v>206</v>
      </c>
      <c r="D67" s="261">
        <v>122473.2</v>
      </c>
      <c r="E67" s="267">
        <v>714220.38090000022</v>
      </c>
      <c r="F67" s="267">
        <v>406034.52323333331</v>
      </c>
      <c r="G67" s="267">
        <v>564472.74003333342</v>
      </c>
      <c r="H67" s="267">
        <v>5372929.1797083328</v>
      </c>
      <c r="I67" s="267">
        <v>7180130.023875</v>
      </c>
    </row>
    <row r="68" spans="2:9" x14ac:dyDescent="0.2">
      <c r="B68" s="414"/>
      <c r="C68" s="262" t="s">
        <v>207</v>
      </c>
      <c r="D68" s="263">
        <v>140368.736</v>
      </c>
      <c r="E68" s="264">
        <v>775348.64452500001</v>
      </c>
      <c r="F68" s="264">
        <v>456254.97260833334</v>
      </c>
      <c r="G68" s="264">
        <v>581266.4150083334</v>
      </c>
      <c r="H68" s="264">
        <v>5612953.0066416673</v>
      </c>
      <c r="I68" s="264">
        <v>7566191.7747833338</v>
      </c>
    </row>
    <row r="69" spans="2:9" x14ac:dyDescent="0.2">
      <c r="B69" s="414">
        <v>2020</v>
      </c>
      <c r="C69" s="265" t="s">
        <v>204</v>
      </c>
      <c r="D69" s="260">
        <v>150844.65900000001</v>
      </c>
      <c r="E69" s="266">
        <v>812126.16374166671</v>
      </c>
      <c r="F69" s="266">
        <v>484885.7272583333</v>
      </c>
      <c r="G69" s="266">
        <v>588565.29269166675</v>
      </c>
      <c r="H69" s="266">
        <v>5421074.7059083339</v>
      </c>
      <c r="I69" s="266">
        <v>7457496.5486000013</v>
      </c>
    </row>
    <row r="70" spans="2:9" x14ac:dyDescent="0.2">
      <c r="B70" s="414"/>
      <c r="C70" s="123" t="s">
        <v>205</v>
      </c>
      <c r="D70" s="261">
        <v>155370.06400000001</v>
      </c>
      <c r="E70" s="267">
        <v>847611.19934166665</v>
      </c>
      <c r="F70" s="267">
        <v>690319.03354166669</v>
      </c>
      <c r="G70" s="267">
        <v>512662.29112500005</v>
      </c>
      <c r="H70" s="267">
        <v>5771456.8915250003</v>
      </c>
      <c r="I70" s="267">
        <v>7977419.4795333343</v>
      </c>
    </row>
    <row r="71" spans="2:9" x14ac:dyDescent="0.2">
      <c r="B71" s="414"/>
      <c r="C71" s="123" t="s">
        <v>206</v>
      </c>
      <c r="D71" s="261">
        <v>158675.035</v>
      </c>
      <c r="E71" s="267">
        <v>880504.72724166664</v>
      </c>
      <c r="F71" s="267">
        <v>710471.82980833331</v>
      </c>
      <c r="G71" s="267">
        <v>495164.79145000002</v>
      </c>
      <c r="H71" s="267">
        <v>5659759.6039249999</v>
      </c>
      <c r="I71" s="267">
        <v>7904575.9874249995</v>
      </c>
    </row>
    <row r="72" spans="2:9" x14ac:dyDescent="0.2">
      <c r="B72" s="414"/>
      <c r="C72" s="262" t="s">
        <v>207</v>
      </c>
      <c r="D72" s="263">
        <v>164426.34099999999</v>
      </c>
      <c r="E72" s="264">
        <v>937359.93120833347</v>
      </c>
      <c r="F72" s="264">
        <v>693014.55593333335</v>
      </c>
      <c r="G72" s="264">
        <v>522285.14873333334</v>
      </c>
      <c r="H72" s="264">
        <v>5872689.7718500001</v>
      </c>
      <c r="I72" s="264">
        <v>8189775.7487250008</v>
      </c>
    </row>
    <row r="73" spans="2:9" x14ac:dyDescent="0.2">
      <c r="B73" s="268"/>
      <c r="C73" s="123"/>
      <c r="D73" s="267"/>
      <c r="E73" s="267"/>
      <c r="F73" s="267"/>
      <c r="G73" s="267"/>
      <c r="H73" s="267"/>
      <c r="I73" s="267"/>
    </row>
    <row r="74" spans="2:9" x14ac:dyDescent="0.2">
      <c r="B74" s="130" t="s">
        <v>234</v>
      </c>
    </row>
  </sheetData>
  <mergeCells count="21">
    <mergeCell ref="B21:B24"/>
    <mergeCell ref="B25:B28"/>
    <mergeCell ref="B29:B32"/>
    <mergeCell ref="B33:B36"/>
    <mergeCell ref="B37:B40"/>
    <mergeCell ref="B69:B72"/>
    <mergeCell ref="B65:B68"/>
    <mergeCell ref="B41:B44"/>
    <mergeCell ref="B45:B48"/>
    <mergeCell ref="C5:I5"/>
    <mergeCell ref="B61:B64"/>
    <mergeCell ref="B49:B52"/>
    <mergeCell ref="B57:B60"/>
    <mergeCell ref="D8:I8"/>
    <mergeCell ref="D9:E10"/>
    <mergeCell ref="I9:I11"/>
    <mergeCell ref="F9:H10"/>
    <mergeCell ref="B53:B56"/>
    <mergeCell ref="D12:I12"/>
    <mergeCell ref="B13:B16"/>
    <mergeCell ref="B17:B20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5505" r:id="rId4">
          <objectPr defaultSize="0" autoPict="0" r:id="rId5">
            <anchor moveWithCells="1" sizeWithCells="1">
              <from>
                <xdr:col>0</xdr:col>
                <xdr:colOff>9525</xdr:colOff>
                <xdr:row>1</xdr:row>
                <xdr:rowOff>0</xdr:rowOff>
              </from>
              <to>
                <xdr:col>1</xdr:col>
                <xdr:colOff>57150</xdr:colOff>
                <xdr:row>4</xdr:row>
                <xdr:rowOff>95250</xdr:rowOff>
              </to>
            </anchor>
          </objectPr>
        </oleObject>
      </mc:Choice>
      <mc:Fallback>
        <oleObject progId="MSPhotoEd.3" shapeId="40550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74"/>
  <sheetViews>
    <sheetView zoomScaleNormal="100" workbookViewId="0">
      <pane xSplit="3" ySplit="41" topLeftCell="D42" activePane="bottomRight" state="frozen"/>
      <selection pane="topRight" activeCell="D1" sqref="D1"/>
      <selection pane="bottomLeft" activeCell="A42" sqref="A42"/>
      <selection pane="bottomRight" activeCell="L43" sqref="L43"/>
    </sheetView>
  </sheetViews>
  <sheetFormatPr defaultRowHeight="12.75" x14ac:dyDescent="0.2"/>
  <cols>
    <col min="1" max="2" width="9.140625" style="17"/>
    <col min="3" max="3" width="7.5703125" style="17" customWidth="1"/>
    <col min="4" max="4" width="11.5703125" style="17" customWidth="1"/>
    <col min="5" max="5" width="10.85546875" style="17" customWidth="1"/>
    <col min="6" max="6" width="24" style="17" customWidth="1"/>
    <col min="7" max="7" width="12.140625" style="17" customWidth="1"/>
    <col min="8" max="8" width="14.5703125" style="17" customWidth="1"/>
    <col min="9" max="9" width="11.42578125" style="17" customWidth="1"/>
    <col min="10" max="10" width="10.5703125" style="17" customWidth="1"/>
    <col min="11" max="12" width="9.140625" style="17"/>
    <col min="13" max="13" width="10.42578125" style="17" bestFit="1" customWidth="1"/>
    <col min="14" max="16384" width="9.140625" style="17"/>
  </cols>
  <sheetData>
    <row r="2" spans="2:13" x14ac:dyDescent="0.2">
      <c r="H2" s="144" t="s">
        <v>253</v>
      </c>
    </row>
    <row r="6" spans="2:13" ht="15.75" x14ac:dyDescent="0.25">
      <c r="B6" s="150" t="s">
        <v>238</v>
      </c>
      <c r="C6" s="399" t="s">
        <v>276</v>
      </c>
      <c r="D6" s="399"/>
      <c r="E6" s="399"/>
      <c r="F6" s="399"/>
      <c r="G6" s="399"/>
      <c r="H6" s="399"/>
      <c r="I6" s="399"/>
      <c r="J6" s="143"/>
    </row>
    <row r="7" spans="2:13" x14ac:dyDescent="0.2">
      <c r="B7" s="25"/>
      <c r="C7" s="25"/>
    </row>
    <row r="10" spans="2:13" x14ac:dyDescent="0.2">
      <c r="D10" s="420" t="s">
        <v>223</v>
      </c>
      <c r="E10" s="420"/>
      <c r="F10" s="420"/>
      <c r="G10" s="420"/>
      <c r="H10" s="420"/>
      <c r="I10" s="420"/>
      <c r="J10" s="420"/>
    </row>
    <row r="11" spans="2:13" x14ac:dyDescent="0.2">
      <c r="D11" s="418" t="s">
        <v>217</v>
      </c>
      <c r="E11" s="419"/>
      <c r="F11" s="419"/>
      <c r="G11" s="419"/>
      <c r="H11" s="420" t="s">
        <v>218</v>
      </c>
      <c r="I11" s="420"/>
      <c r="J11" s="422" t="s">
        <v>148</v>
      </c>
    </row>
    <row r="12" spans="2:13" ht="38.25" x14ac:dyDescent="0.2">
      <c r="D12" s="201" t="s">
        <v>50</v>
      </c>
      <c r="E12" s="201" t="s">
        <v>219</v>
      </c>
      <c r="F12" s="201" t="s">
        <v>224</v>
      </c>
      <c r="G12" s="201" t="s">
        <v>220</v>
      </c>
      <c r="H12" s="201" t="s">
        <v>221</v>
      </c>
      <c r="I12" s="202" t="s">
        <v>222</v>
      </c>
      <c r="J12" s="423"/>
    </row>
    <row r="13" spans="2:13" x14ac:dyDescent="0.2">
      <c r="C13" s="259"/>
      <c r="D13" s="421" t="s">
        <v>209</v>
      </c>
      <c r="E13" s="421"/>
      <c r="F13" s="421"/>
      <c r="G13" s="421"/>
      <c r="H13" s="421"/>
      <c r="I13" s="421"/>
      <c r="J13" s="421"/>
    </row>
    <row r="14" spans="2:13" hidden="1" x14ac:dyDescent="0.2">
      <c r="B14" s="417">
        <v>2006</v>
      </c>
      <c r="C14" s="197" t="s">
        <v>204</v>
      </c>
      <c r="D14" s="193">
        <v>1904125.8333333335</v>
      </c>
      <c r="E14" s="198">
        <v>664158.33333333337</v>
      </c>
      <c r="F14" s="198">
        <v>2188463.3333333335</v>
      </c>
      <c r="G14" s="198">
        <v>606851.66666666674</v>
      </c>
      <c r="H14" s="198">
        <v>1160519.1666666667</v>
      </c>
      <c r="I14" s="198">
        <v>178570.83333333334</v>
      </c>
      <c r="J14" s="203">
        <f>D14+E14+F14+G14-H14-I14</f>
        <v>4024509.1666666665</v>
      </c>
      <c r="M14" s="18"/>
    </row>
    <row r="15" spans="2:13" hidden="1" x14ac:dyDescent="0.2">
      <c r="B15" s="417"/>
      <c r="C15" s="90" t="s">
        <v>205</v>
      </c>
      <c r="D15" s="194">
        <v>1706730.8333333335</v>
      </c>
      <c r="E15" s="199">
        <v>685272.5</v>
      </c>
      <c r="F15" s="199">
        <v>1932255.8333333335</v>
      </c>
      <c r="G15" s="199">
        <v>1299734.1666666667</v>
      </c>
      <c r="H15" s="199">
        <v>1112460</v>
      </c>
      <c r="I15" s="199">
        <v>118750.83333333334</v>
      </c>
      <c r="J15" s="190">
        <f t="shared" ref="J15:J64" si="0">D15+E15+F15+G15-H15-I15</f>
        <v>4392782.5000000009</v>
      </c>
      <c r="M15" s="18"/>
    </row>
    <row r="16" spans="2:13" hidden="1" x14ac:dyDescent="0.2">
      <c r="B16" s="417"/>
      <c r="C16" s="90" t="s">
        <v>206</v>
      </c>
      <c r="D16" s="194">
        <v>3389826.666666667</v>
      </c>
      <c r="E16" s="199">
        <v>641530</v>
      </c>
      <c r="F16" s="199">
        <v>2715</v>
      </c>
      <c r="G16" s="199">
        <v>1284187.5</v>
      </c>
      <c r="H16" s="199">
        <v>1090727.5</v>
      </c>
      <c r="I16" s="199">
        <v>255804.16666666669</v>
      </c>
      <c r="J16" s="190">
        <f t="shared" si="0"/>
        <v>3971727.5000000005</v>
      </c>
      <c r="M16" s="18"/>
    </row>
    <row r="17" spans="2:13" hidden="1" x14ac:dyDescent="0.2">
      <c r="B17" s="417"/>
      <c r="C17" s="89" t="s">
        <v>207</v>
      </c>
      <c r="D17" s="195">
        <v>3823992.5</v>
      </c>
      <c r="E17" s="196">
        <v>1358150</v>
      </c>
      <c r="F17" s="196">
        <v>90686.666666666672</v>
      </c>
      <c r="G17" s="196">
        <v>1213384.1666666667</v>
      </c>
      <c r="H17" s="196">
        <v>1117210</v>
      </c>
      <c r="I17" s="196">
        <v>677280</v>
      </c>
      <c r="J17" s="191">
        <f t="shared" si="0"/>
        <v>4691723.333333334</v>
      </c>
      <c r="M17" s="18"/>
    </row>
    <row r="18" spans="2:13" hidden="1" x14ac:dyDescent="0.2">
      <c r="B18" s="417">
        <v>2007</v>
      </c>
      <c r="C18" s="197" t="s">
        <v>204</v>
      </c>
      <c r="D18" s="193">
        <v>4175835</v>
      </c>
      <c r="E18" s="198">
        <v>1487115</v>
      </c>
      <c r="F18" s="198">
        <v>0</v>
      </c>
      <c r="G18" s="198">
        <v>1406937.5</v>
      </c>
      <c r="H18" s="198">
        <v>1069687.5</v>
      </c>
      <c r="I18" s="198">
        <v>513035</v>
      </c>
      <c r="J18" s="203">
        <f t="shared" si="0"/>
        <v>5487165</v>
      </c>
      <c r="M18" s="18"/>
    </row>
    <row r="19" spans="2:13" hidden="1" x14ac:dyDescent="0.2">
      <c r="B19" s="417"/>
      <c r="C19" s="90" t="s">
        <v>205</v>
      </c>
      <c r="D19" s="194">
        <v>4313175</v>
      </c>
      <c r="E19" s="199">
        <v>1712885.8333333335</v>
      </c>
      <c r="F19" s="199">
        <v>0</v>
      </c>
      <c r="G19" s="199">
        <v>1420726.6666666667</v>
      </c>
      <c r="H19" s="199">
        <v>1353752.5</v>
      </c>
      <c r="I19" s="199">
        <v>513214.16666666669</v>
      </c>
      <c r="J19" s="190">
        <f t="shared" si="0"/>
        <v>5579820.833333334</v>
      </c>
      <c r="M19" s="18"/>
    </row>
    <row r="20" spans="2:13" hidden="1" x14ac:dyDescent="0.2">
      <c r="B20" s="417"/>
      <c r="C20" s="90" t="s">
        <v>206</v>
      </c>
      <c r="D20" s="194">
        <v>3939891.666666667</v>
      </c>
      <c r="E20" s="199">
        <v>1801493.3333333335</v>
      </c>
      <c r="F20" s="199">
        <v>0</v>
      </c>
      <c r="G20" s="199">
        <v>1411459.1666666667</v>
      </c>
      <c r="H20" s="199">
        <v>3101539.166666667</v>
      </c>
      <c r="I20" s="199">
        <v>490736.66666666669</v>
      </c>
      <c r="J20" s="190">
        <f t="shared" si="0"/>
        <v>3560568.3333333335</v>
      </c>
      <c r="M20" s="18"/>
    </row>
    <row r="21" spans="2:13" hidden="1" x14ac:dyDescent="0.2">
      <c r="B21" s="417"/>
      <c r="C21" s="89" t="s">
        <v>207</v>
      </c>
      <c r="D21" s="195">
        <v>3888950.8333333335</v>
      </c>
      <c r="E21" s="196">
        <v>1449358.3333333335</v>
      </c>
      <c r="F21" s="196">
        <v>0</v>
      </c>
      <c r="G21" s="196">
        <v>1417380.8333333335</v>
      </c>
      <c r="H21" s="196">
        <v>2934461.666666667</v>
      </c>
      <c r="I21" s="196">
        <v>91541.666666666672</v>
      </c>
      <c r="J21" s="191">
        <f t="shared" si="0"/>
        <v>3729686.6666666665</v>
      </c>
      <c r="M21" s="18"/>
    </row>
    <row r="22" spans="2:13" hidden="1" x14ac:dyDescent="0.2">
      <c r="B22" s="417">
        <v>2008</v>
      </c>
      <c r="C22" s="197" t="s">
        <v>204</v>
      </c>
      <c r="D22" s="193">
        <v>4494671.666666667</v>
      </c>
      <c r="E22" s="198">
        <v>1312848.3333333335</v>
      </c>
      <c r="F22" s="198">
        <v>0</v>
      </c>
      <c r="G22" s="198">
        <v>1766520.8333333335</v>
      </c>
      <c r="H22" s="198">
        <v>3482681.666666667</v>
      </c>
      <c r="I22" s="198">
        <v>127300.83333333334</v>
      </c>
      <c r="J22" s="203">
        <f t="shared" si="0"/>
        <v>3964058.3333333335</v>
      </c>
      <c r="M22" s="18"/>
    </row>
    <row r="23" spans="2:13" hidden="1" x14ac:dyDescent="0.2">
      <c r="B23" s="417"/>
      <c r="C23" s="90" t="s">
        <v>205</v>
      </c>
      <c r="D23" s="194">
        <v>4112297.5</v>
      </c>
      <c r="E23" s="199">
        <v>1530820.8333333335</v>
      </c>
      <c r="F23" s="199">
        <v>0</v>
      </c>
      <c r="G23" s="199">
        <v>1642533.3333333335</v>
      </c>
      <c r="H23" s="199">
        <v>3929444.166666667</v>
      </c>
      <c r="I23" s="199">
        <v>175993.33333333334</v>
      </c>
      <c r="J23" s="190">
        <f t="shared" si="0"/>
        <v>3180214.1666666674</v>
      </c>
      <c r="M23" s="18"/>
    </row>
    <row r="24" spans="2:13" hidden="1" x14ac:dyDescent="0.2">
      <c r="B24" s="417"/>
      <c r="C24" s="90" t="s">
        <v>206</v>
      </c>
      <c r="D24" s="194">
        <v>3524282.5</v>
      </c>
      <c r="E24" s="199">
        <v>1576525.8333333335</v>
      </c>
      <c r="F24" s="199">
        <v>0</v>
      </c>
      <c r="G24" s="199">
        <v>1624015</v>
      </c>
      <c r="H24" s="199">
        <v>3750563.3333333335</v>
      </c>
      <c r="I24" s="199">
        <v>51820.833333333336</v>
      </c>
      <c r="J24" s="190">
        <f t="shared" si="0"/>
        <v>2922439.166666667</v>
      </c>
      <c r="M24" s="18"/>
    </row>
    <row r="25" spans="2:13" hidden="1" x14ac:dyDescent="0.2">
      <c r="B25" s="417"/>
      <c r="C25" s="89" t="s">
        <v>207</v>
      </c>
      <c r="D25" s="195">
        <v>4450762.5</v>
      </c>
      <c r="E25" s="196">
        <v>1427841.6666666667</v>
      </c>
      <c r="F25" s="196">
        <v>0</v>
      </c>
      <c r="G25" s="196">
        <v>1552128.3333333335</v>
      </c>
      <c r="H25" s="196">
        <v>3732739.166666667</v>
      </c>
      <c r="I25" s="196">
        <v>220486.66666666669</v>
      </c>
      <c r="J25" s="191">
        <f t="shared" si="0"/>
        <v>3477506.6666666665</v>
      </c>
      <c r="M25" s="18"/>
    </row>
    <row r="26" spans="2:13" hidden="1" x14ac:dyDescent="0.2">
      <c r="B26" s="417">
        <v>2009</v>
      </c>
      <c r="C26" s="197" t="s">
        <v>204</v>
      </c>
      <c r="D26" s="193">
        <v>4799843.333333334</v>
      </c>
      <c r="E26" s="198">
        <v>1285067.5</v>
      </c>
      <c r="F26" s="198">
        <v>0</v>
      </c>
      <c r="G26" s="198">
        <v>1536618.3333333335</v>
      </c>
      <c r="H26" s="198">
        <v>1693250.8333333335</v>
      </c>
      <c r="I26" s="198">
        <v>193405.83333333334</v>
      </c>
      <c r="J26" s="203">
        <f t="shared" si="0"/>
        <v>5734872.5000000009</v>
      </c>
      <c r="M26" s="18"/>
    </row>
    <row r="27" spans="2:13" hidden="1" x14ac:dyDescent="0.2">
      <c r="B27" s="417"/>
      <c r="C27" s="90" t="s">
        <v>205</v>
      </c>
      <c r="D27" s="194">
        <v>3712179.166666667</v>
      </c>
      <c r="E27" s="199">
        <v>1266222.5</v>
      </c>
      <c r="F27" s="199">
        <v>0</v>
      </c>
      <c r="G27" s="199">
        <v>1543071.6666666667</v>
      </c>
      <c r="H27" s="199">
        <v>2874517.5</v>
      </c>
      <c r="I27" s="199">
        <v>151374.16666666669</v>
      </c>
      <c r="J27" s="190">
        <f t="shared" si="0"/>
        <v>3495581.6666666674</v>
      </c>
      <c r="M27" s="18"/>
    </row>
    <row r="28" spans="2:13" hidden="1" x14ac:dyDescent="0.2">
      <c r="B28" s="417"/>
      <c r="C28" s="90" t="s">
        <v>206</v>
      </c>
      <c r="D28" s="194">
        <v>3268181.666666667</v>
      </c>
      <c r="E28" s="199">
        <v>1250620</v>
      </c>
      <c r="F28" s="199">
        <v>0</v>
      </c>
      <c r="G28" s="199">
        <v>1535733.3333333335</v>
      </c>
      <c r="H28" s="199">
        <v>2741505.8333333335</v>
      </c>
      <c r="I28" s="199">
        <v>102241.66666666667</v>
      </c>
      <c r="J28" s="190">
        <f t="shared" si="0"/>
        <v>3210787.5</v>
      </c>
      <c r="M28" s="18"/>
    </row>
    <row r="29" spans="2:13" hidden="1" x14ac:dyDescent="0.2">
      <c r="B29" s="417"/>
      <c r="C29" s="89" t="s">
        <v>207</v>
      </c>
      <c r="D29" s="195">
        <v>3923204.166666667</v>
      </c>
      <c r="E29" s="196">
        <v>1170871.6666666667</v>
      </c>
      <c r="F29" s="196">
        <v>0</v>
      </c>
      <c r="G29" s="196">
        <v>1536805.8333333335</v>
      </c>
      <c r="H29" s="196">
        <v>2677936.666666667</v>
      </c>
      <c r="I29" s="196">
        <v>72260</v>
      </c>
      <c r="J29" s="191">
        <f t="shared" si="0"/>
        <v>3880685.0000000009</v>
      </c>
      <c r="M29" s="18"/>
    </row>
    <row r="30" spans="2:13" hidden="1" x14ac:dyDescent="0.2">
      <c r="B30" s="417">
        <v>2010</v>
      </c>
      <c r="C30" s="197" t="s">
        <v>204</v>
      </c>
      <c r="D30" s="193">
        <v>4175211.666666667</v>
      </c>
      <c r="E30" s="198">
        <v>929847.5</v>
      </c>
      <c r="F30" s="198">
        <v>0</v>
      </c>
      <c r="G30" s="198">
        <v>1503586.6666666667</v>
      </c>
      <c r="H30" s="198">
        <v>2686735</v>
      </c>
      <c r="I30" s="198">
        <v>26385.833333333336</v>
      </c>
      <c r="J30" s="203">
        <f t="shared" si="0"/>
        <v>3895525.0000000005</v>
      </c>
      <c r="M30" s="18"/>
    </row>
    <row r="31" spans="2:13" hidden="1" x14ac:dyDescent="0.2">
      <c r="B31" s="417"/>
      <c r="C31" s="90" t="s">
        <v>205</v>
      </c>
      <c r="D31" s="194">
        <v>4272316.666666667</v>
      </c>
      <c r="E31" s="199">
        <v>724385.83333333337</v>
      </c>
      <c r="F31" s="199">
        <v>0</v>
      </c>
      <c r="G31" s="199">
        <v>1486119.1666666667</v>
      </c>
      <c r="H31" s="199">
        <v>2561280</v>
      </c>
      <c r="I31" s="199">
        <v>53887.5</v>
      </c>
      <c r="J31" s="190">
        <f t="shared" si="0"/>
        <v>3867654.166666667</v>
      </c>
      <c r="M31" s="18"/>
    </row>
    <row r="32" spans="2:13" hidden="1" x14ac:dyDescent="0.2">
      <c r="B32" s="417"/>
      <c r="C32" s="90" t="s">
        <v>206</v>
      </c>
      <c r="D32" s="194">
        <v>3791745</v>
      </c>
      <c r="E32" s="199">
        <v>705980</v>
      </c>
      <c r="F32" s="199">
        <v>0</v>
      </c>
      <c r="G32" s="199">
        <v>1515468.3333333335</v>
      </c>
      <c r="H32" s="199">
        <v>3020530.8333333335</v>
      </c>
      <c r="I32" s="199">
        <v>35038.333333333336</v>
      </c>
      <c r="J32" s="190">
        <f t="shared" si="0"/>
        <v>2957624.166666667</v>
      </c>
      <c r="M32" s="18"/>
    </row>
    <row r="33" spans="2:13" hidden="1" x14ac:dyDescent="0.2">
      <c r="B33" s="417"/>
      <c r="C33" s="89" t="s">
        <v>207</v>
      </c>
      <c r="D33" s="195">
        <v>3785755</v>
      </c>
      <c r="E33" s="196">
        <v>906695.83333333337</v>
      </c>
      <c r="F33" s="196">
        <v>0</v>
      </c>
      <c r="G33" s="196">
        <v>1447627.5</v>
      </c>
      <c r="H33" s="196">
        <v>3076216.666666667</v>
      </c>
      <c r="I33" s="196">
        <v>96757.5</v>
      </c>
      <c r="J33" s="191">
        <f t="shared" si="0"/>
        <v>2967104.166666666</v>
      </c>
      <c r="M33" s="18"/>
    </row>
    <row r="34" spans="2:13" hidden="1" x14ac:dyDescent="0.2">
      <c r="B34" s="417">
        <v>2011</v>
      </c>
      <c r="C34" s="197" t="s">
        <v>204</v>
      </c>
      <c r="D34" s="193">
        <v>3720106.666666667</v>
      </c>
      <c r="E34" s="198">
        <v>1018179.1666666667</v>
      </c>
      <c r="F34" s="198">
        <v>0</v>
      </c>
      <c r="G34" s="198">
        <v>1641586.6666666667</v>
      </c>
      <c r="H34" s="198">
        <v>2956240.8333333335</v>
      </c>
      <c r="I34" s="198">
        <v>123165.83333333334</v>
      </c>
      <c r="J34" s="203">
        <f t="shared" si="0"/>
        <v>3300465.833333334</v>
      </c>
      <c r="M34" s="18"/>
    </row>
    <row r="35" spans="2:13" hidden="1" x14ac:dyDescent="0.2">
      <c r="B35" s="417"/>
      <c r="C35" s="90" t="s">
        <v>205</v>
      </c>
      <c r="D35" s="194">
        <v>3612025</v>
      </c>
      <c r="E35" s="199">
        <v>938739.16666666674</v>
      </c>
      <c r="F35" s="199">
        <v>0</v>
      </c>
      <c r="G35" s="199">
        <v>1635760</v>
      </c>
      <c r="H35" s="199">
        <v>3038579.166666667</v>
      </c>
      <c r="I35" s="199">
        <v>129507.5</v>
      </c>
      <c r="J35" s="190">
        <f t="shared" si="0"/>
        <v>3018437.5</v>
      </c>
      <c r="M35" s="18"/>
    </row>
    <row r="36" spans="2:13" hidden="1" x14ac:dyDescent="0.2">
      <c r="B36" s="417"/>
      <c r="C36" s="90" t="s">
        <v>206</v>
      </c>
      <c r="D36" s="194">
        <v>3428671.666666667</v>
      </c>
      <c r="E36" s="199">
        <v>907965.83333333337</v>
      </c>
      <c r="F36" s="199">
        <v>0</v>
      </c>
      <c r="G36" s="199">
        <v>1668207.5</v>
      </c>
      <c r="H36" s="199">
        <v>3070344.166666667</v>
      </c>
      <c r="I36" s="199">
        <v>103888.33333333334</v>
      </c>
      <c r="J36" s="190">
        <f t="shared" si="0"/>
        <v>2830612.4999999995</v>
      </c>
      <c r="M36" s="18"/>
    </row>
    <row r="37" spans="2:13" hidden="1" x14ac:dyDescent="0.2">
      <c r="B37" s="417"/>
      <c r="C37" s="89" t="s">
        <v>207</v>
      </c>
      <c r="D37" s="195">
        <v>3569237.5</v>
      </c>
      <c r="E37" s="196">
        <v>963320.83333333337</v>
      </c>
      <c r="F37" s="196">
        <v>0</v>
      </c>
      <c r="G37" s="196">
        <v>1517171.6666666667</v>
      </c>
      <c r="H37" s="196">
        <v>3580238.3333333335</v>
      </c>
      <c r="I37" s="196">
        <v>117380.83333333334</v>
      </c>
      <c r="J37" s="191">
        <f t="shared" si="0"/>
        <v>2352110.833333333</v>
      </c>
      <c r="M37" s="18"/>
    </row>
    <row r="38" spans="2:13" hidden="1" x14ac:dyDescent="0.2">
      <c r="B38" s="417">
        <v>2012</v>
      </c>
      <c r="C38" s="197" t="s">
        <v>204</v>
      </c>
      <c r="D38" s="193">
        <v>3670687.5</v>
      </c>
      <c r="E38" s="198">
        <v>1041317.5</v>
      </c>
      <c r="F38" s="198">
        <v>0</v>
      </c>
      <c r="G38" s="198">
        <v>1511430.8333333335</v>
      </c>
      <c r="H38" s="198">
        <v>3396112.5</v>
      </c>
      <c r="I38" s="198">
        <v>185656.66666666669</v>
      </c>
      <c r="J38" s="203">
        <f t="shared" si="0"/>
        <v>2641666.6666666674</v>
      </c>
      <c r="M38" s="18"/>
    </row>
    <row r="39" spans="2:13" hidden="1" x14ac:dyDescent="0.2">
      <c r="B39" s="417"/>
      <c r="C39" s="90" t="s">
        <v>205</v>
      </c>
      <c r="D39" s="194">
        <v>3860611.666666667</v>
      </c>
      <c r="E39" s="199">
        <v>895134.16666666674</v>
      </c>
      <c r="F39" s="199">
        <v>0</v>
      </c>
      <c r="G39" s="199">
        <v>1360091.6666666667</v>
      </c>
      <c r="H39" s="199">
        <v>3216194.166666667</v>
      </c>
      <c r="I39" s="199">
        <v>153686.66666666669</v>
      </c>
      <c r="J39" s="190">
        <f t="shared" si="0"/>
        <v>2745956.6666666674</v>
      </c>
      <c r="M39" s="18"/>
    </row>
    <row r="40" spans="2:13" hidden="1" x14ac:dyDescent="0.2">
      <c r="B40" s="417"/>
      <c r="C40" s="90" t="s">
        <v>206</v>
      </c>
      <c r="D40" s="194">
        <v>3743506.666666667</v>
      </c>
      <c r="E40" s="199">
        <v>987516.66666666674</v>
      </c>
      <c r="F40" s="199">
        <v>0</v>
      </c>
      <c r="G40" s="199">
        <v>1346401.6666666667</v>
      </c>
      <c r="H40" s="199">
        <v>3344095</v>
      </c>
      <c r="I40" s="199">
        <v>130575</v>
      </c>
      <c r="J40" s="190">
        <f t="shared" si="0"/>
        <v>2602755.0000000009</v>
      </c>
      <c r="M40" s="18"/>
    </row>
    <row r="41" spans="2:13" hidden="1" x14ac:dyDescent="0.2">
      <c r="B41" s="417"/>
      <c r="C41" s="89" t="s">
        <v>207</v>
      </c>
      <c r="D41" s="195">
        <v>4059420.8333333335</v>
      </c>
      <c r="E41" s="196">
        <v>1111483.3333333335</v>
      </c>
      <c r="F41" s="196">
        <v>0</v>
      </c>
      <c r="G41" s="196">
        <v>1273855.8333333335</v>
      </c>
      <c r="H41" s="196">
        <v>3584786.666666667</v>
      </c>
      <c r="I41" s="196">
        <v>157227.5</v>
      </c>
      <c r="J41" s="191">
        <f t="shared" si="0"/>
        <v>2702745.833333333</v>
      </c>
      <c r="M41" s="18"/>
    </row>
    <row r="42" spans="2:13" x14ac:dyDescent="0.2">
      <c r="B42" s="417">
        <v>2013</v>
      </c>
      <c r="C42" s="197" t="s">
        <v>204</v>
      </c>
      <c r="D42" s="193">
        <v>3901380</v>
      </c>
      <c r="E42" s="198">
        <v>1019280.8333333334</v>
      </c>
      <c r="F42" s="198">
        <v>0</v>
      </c>
      <c r="G42" s="198">
        <v>1299024.1666666667</v>
      </c>
      <c r="H42" s="198">
        <v>3255695</v>
      </c>
      <c r="I42" s="198">
        <v>-21784.166666666668</v>
      </c>
      <c r="J42" s="203">
        <f t="shared" si="0"/>
        <v>2985774.1666666665</v>
      </c>
      <c r="M42" s="18"/>
    </row>
    <row r="43" spans="2:13" x14ac:dyDescent="0.2">
      <c r="B43" s="417"/>
      <c r="C43" s="90" t="s">
        <v>205</v>
      </c>
      <c r="D43" s="194">
        <v>4199935</v>
      </c>
      <c r="E43" s="199">
        <v>1017837.5</v>
      </c>
      <c r="F43" s="199">
        <v>0</v>
      </c>
      <c r="G43" s="199">
        <v>716272.5</v>
      </c>
      <c r="H43" s="199">
        <v>3065187.5</v>
      </c>
      <c r="I43" s="199">
        <v>147313.33333333334</v>
      </c>
      <c r="J43" s="190">
        <f t="shared" si="0"/>
        <v>2721544.1666666665</v>
      </c>
      <c r="M43" s="18"/>
    </row>
    <row r="44" spans="2:13" x14ac:dyDescent="0.2">
      <c r="B44" s="417"/>
      <c r="C44" s="90" t="s">
        <v>206</v>
      </c>
      <c r="D44" s="194">
        <v>3809432.5</v>
      </c>
      <c r="E44" s="199">
        <v>1026665</v>
      </c>
      <c r="F44" s="199">
        <v>0</v>
      </c>
      <c r="G44" s="199">
        <v>821454.16666666674</v>
      </c>
      <c r="H44" s="199">
        <v>2795552.5</v>
      </c>
      <c r="I44" s="199">
        <v>204870</v>
      </c>
      <c r="J44" s="190">
        <f t="shared" si="0"/>
        <v>2657129.166666667</v>
      </c>
      <c r="M44" s="18"/>
    </row>
    <row r="45" spans="2:13" x14ac:dyDescent="0.2">
      <c r="B45" s="417"/>
      <c r="C45" s="89" t="s">
        <v>207</v>
      </c>
      <c r="D45" s="195">
        <v>4408251.666666667</v>
      </c>
      <c r="E45" s="196">
        <v>910260.83333333337</v>
      </c>
      <c r="F45" s="196">
        <v>0</v>
      </c>
      <c r="G45" s="196">
        <v>864035.83333333337</v>
      </c>
      <c r="H45" s="196">
        <v>2815620</v>
      </c>
      <c r="I45" s="196">
        <v>219093.33333333334</v>
      </c>
      <c r="J45" s="191">
        <f t="shared" si="0"/>
        <v>3147834.9999999995</v>
      </c>
      <c r="M45" s="18"/>
    </row>
    <row r="46" spans="2:13" x14ac:dyDescent="0.2">
      <c r="B46" s="417">
        <v>2014</v>
      </c>
      <c r="C46" s="197" t="s">
        <v>204</v>
      </c>
      <c r="D46" s="193">
        <v>3796325.8333333335</v>
      </c>
      <c r="E46" s="198">
        <v>1089310.8333333335</v>
      </c>
      <c r="F46" s="198">
        <v>0</v>
      </c>
      <c r="G46" s="198">
        <v>893534.16666666674</v>
      </c>
      <c r="H46" s="198">
        <v>2644537.5</v>
      </c>
      <c r="I46" s="198">
        <v>89350.833333333343</v>
      </c>
      <c r="J46" s="203">
        <f t="shared" si="0"/>
        <v>3045282.5000000005</v>
      </c>
      <c r="M46" s="18"/>
    </row>
    <row r="47" spans="2:13" x14ac:dyDescent="0.2">
      <c r="B47" s="417"/>
      <c r="C47" s="90" t="s">
        <v>205</v>
      </c>
      <c r="D47" s="194">
        <v>3487379.166666667</v>
      </c>
      <c r="E47" s="199">
        <v>1124953.3333333335</v>
      </c>
      <c r="F47" s="199">
        <v>0</v>
      </c>
      <c r="G47" s="199">
        <v>892127.5</v>
      </c>
      <c r="H47" s="199">
        <v>2626682.5</v>
      </c>
      <c r="I47" s="199">
        <v>177125</v>
      </c>
      <c r="J47" s="190">
        <f t="shared" si="0"/>
        <v>2700652.5</v>
      </c>
      <c r="M47" s="18"/>
    </row>
    <row r="48" spans="2:13" x14ac:dyDescent="0.2">
      <c r="B48" s="417"/>
      <c r="C48" s="90" t="s">
        <v>206</v>
      </c>
      <c r="D48" s="194">
        <v>3375290</v>
      </c>
      <c r="E48" s="199">
        <v>1191839.1666666667</v>
      </c>
      <c r="F48" s="199">
        <v>0</v>
      </c>
      <c r="G48" s="199">
        <v>827419.16666666674</v>
      </c>
      <c r="H48" s="199">
        <v>2628594.166666667</v>
      </c>
      <c r="I48" s="199">
        <v>255213.33333333334</v>
      </c>
      <c r="J48" s="190">
        <f t="shared" si="0"/>
        <v>2510740.8333333335</v>
      </c>
      <c r="M48" s="18"/>
    </row>
    <row r="49" spans="2:13" x14ac:dyDescent="0.2">
      <c r="B49" s="417"/>
      <c r="C49" s="89" t="s">
        <v>207</v>
      </c>
      <c r="D49" s="195">
        <v>2865404.166666667</v>
      </c>
      <c r="E49" s="196">
        <v>1370259.1666666667</v>
      </c>
      <c r="F49" s="196">
        <v>0</v>
      </c>
      <c r="G49" s="196">
        <v>897188.33333333337</v>
      </c>
      <c r="H49" s="196">
        <v>2806760</v>
      </c>
      <c r="I49" s="196">
        <v>144585.83333333334</v>
      </c>
      <c r="J49" s="191">
        <f t="shared" si="0"/>
        <v>2181505.8333333335</v>
      </c>
      <c r="M49" s="18"/>
    </row>
    <row r="50" spans="2:13" x14ac:dyDescent="0.2">
      <c r="B50" s="417">
        <v>2015</v>
      </c>
      <c r="C50" s="197" t="s">
        <v>204</v>
      </c>
      <c r="D50" s="193">
        <v>2963058.3333333335</v>
      </c>
      <c r="E50" s="198">
        <v>1535418.3333333335</v>
      </c>
      <c r="F50" s="198">
        <v>0</v>
      </c>
      <c r="G50" s="198">
        <v>815971.66666666674</v>
      </c>
      <c r="H50" s="198">
        <v>2906675</v>
      </c>
      <c r="I50" s="198">
        <v>204543.33333333334</v>
      </c>
      <c r="J50" s="203">
        <f t="shared" si="0"/>
        <v>2203230.0000000005</v>
      </c>
      <c r="M50" s="18"/>
    </row>
    <row r="51" spans="2:13" x14ac:dyDescent="0.2">
      <c r="B51" s="417"/>
      <c r="C51" s="90" t="s">
        <v>205</v>
      </c>
      <c r="D51" s="194">
        <v>2734237.5</v>
      </c>
      <c r="E51" s="199">
        <v>1767968.3333333335</v>
      </c>
      <c r="F51" s="199">
        <v>0</v>
      </c>
      <c r="G51" s="199">
        <v>820903.33333333337</v>
      </c>
      <c r="H51" s="199">
        <v>2797320</v>
      </c>
      <c r="I51" s="199">
        <v>273164.16666666669</v>
      </c>
      <c r="J51" s="190">
        <f t="shared" si="0"/>
        <v>2252625.0000000005</v>
      </c>
      <c r="M51" s="18"/>
    </row>
    <row r="52" spans="2:13" x14ac:dyDescent="0.2">
      <c r="B52" s="417"/>
      <c r="C52" s="90" t="s">
        <v>206</v>
      </c>
      <c r="D52" s="194">
        <v>2934567.5</v>
      </c>
      <c r="E52" s="199">
        <v>2069054.1666666667</v>
      </c>
      <c r="F52" s="199">
        <v>0</v>
      </c>
      <c r="G52" s="199">
        <v>2537550</v>
      </c>
      <c r="H52" s="199">
        <v>4168993.3333333335</v>
      </c>
      <c r="I52" s="199">
        <v>270485</v>
      </c>
      <c r="J52" s="190">
        <f t="shared" si="0"/>
        <v>3101693.3333333335</v>
      </c>
      <c r="M52" s="18"/>
    </row>
    <row r="53" spans="2:13" x14ac:dyDescent="0.2">
      <c r="B53" s="417"/>
      <c r="C53" s="89" t="s">
        <v>207</v>
      </c>
      <c r="D53" s="195">
        <v>3260790.8333333335</v>
      </c>
      <c r="E53" s="196">
        <v>2208624.166666667</v>
      </c>
      <c r="F53" s="196">
        <v>0</v>
      </c>
      <c r="G53" s="196">
        <v>2946961.666666667</v>
      </c>
      <c r="H53" s="196">
        <v>4549055.833333334</v>
      </c>
      <c r="I53" s="196">
        <v>182687.5</v>
      </c>
      <c r="J53" s="191">
        <f t="shared" si="0"/>
        <v>3684633.333333334</v>
      </c>
      <c r="M53" s="18"/>
    </row>
    <row r="54" spans="2:13" x14ac:dyDescent="0.2">
      <c r="B54" s="417">
        <v>2016</v>
      </c>
      <c r="C54" s="197" t="s">
        <v>204</v>
      </c>
      <c r="D54" s="193">
        <v>2903943.3333333335</v>
      </c>
      <c r="E54" s="198">
        <v>2603303.333333334</v>
      </c>
      <c r="F54" s="198">
        <v>0</v>
      </c>
      <c r="G54" s="198">
        <v>3009025</v>
      </c>
      <c r="H54" s="198">
        <v>4296330</v>
      </c>
      <c r="I54" s="198">
        <v>213620.83333333334</v>
      </c>
      <c r="J54" s="203">
        <f t="shared" si="0"/>
        <v>4006320.8333333344</v>
      </c>
      <c r="M54" s="18"/>
    </row>
    <row r="55" spans="2:13" x14ac:dyDescent="0.2">
      <c r="B55" s="417"/>
      <c r="C55" s="90" t="s">
        <v>205</v>
      </c>
      <c r="D55" s="194">
        <v>2862285.8333333335</v>
      </c>
      <c r="E55" s="199">
        <v>2515866.666666667</v>
      </c>
      <c r="F55" s="199">
        <v>0</v>
      </c>
      <c r="G55" s="199">
        <v>3002696.666666667</v>
      </c>
      <c r="H55" s="199">
        <v>4498472.5</v>
      </c>
      <c r="I55" s="199">
        <v>165485.83333333334</v>
      </c>
      <c r="J55" s="190">
        <f t="shared" si="0"/>
        <v>3716890.8333333335</v>
      </c>
      <c r="M55" s="18"/>
    </row>
    <row r="56" spans="2:13" x14ac:dyDescent="0.2">
      <c r="B56" s="417"/>
      <c r="C56" s="90" t="s">
        <v>206</v>
      </c>
      <c r="D56" s="194">
        <v>2965662.5000000005</v>
      </c>
      <c r="E56" s="199">
        <v>2369695.8333333335</v>
      </c>
      <c r="F56" s="199">
        <v>0</v>
      </c>
      <c r="G56" s="199">
        <v>2902913.3333333335</v>
      </c>
      <c r="H56" s="199">
        <v>4424934.166666667</v>
      </c>
      <c r="I56" s="199">
        <v>148822.5</v>
      </c>
      <c r="J56" s="190">
        <f t="shared" si="0"/>
        <v>3664515.0000000009</v>
      </c>
      <c r="M56" s="18"/>
    </row>
    <row r="57" spans="2:13" x14ac:dyDescent="0.2">
      <c r="B57" s="417"/>
      <c r="C57" s="89" t="s">
        <v>207</v>
      </c>
      <c r="D57" s="195">
        <v>3104631.6666666665</v>
      </c>
      <c r="E57" s="196">
        <v>2552581.666666667</v>
      </c>
      <c r="F57" s="196">
        <v>0</v>
      </c>
      <c r="G57" s="196">
        <v>2652303.3333333335</v>
      </c>
      <c r="H57" s="196">
        <v>4322721.666666667</v>
      </c>
      <c r="I57" s="196">
        <v>226018.33333333334</v>
      </c>
      <c r="J57" s="191">
        <f>D57+E57+F57+G57-H57-I57</f>
        <v>3760776.6666666674</v>
      </c>
      <c r="M57" s="18"/>
    </row>
    <row r="58" spans="2:13" x14ac:dyDescent="0.2">
      <c r="B58" s="417">
        <v>2017</v>
      </c>
      <c r="C58" s="197" t="s">
        <v>204</v>
      </c>
      <c r="D58" s="193">
        <v>3371705.8333333335</v>
      </c>
      <c r="E58" s="198">
        <v>2523533.3333333335</v>
      </c>
      <c r="F58" s="198">
        <v>0</v>
      </c>
      <c r="G58" s="198">
        <v>2815450.0000000009</v>
      </c>
      <c r="H58" s="198">
        <v>4351070.0000000009</v>
      </c>
      <c r="I58" s="198">
        <v>208640.83333333331</v>
      </c>
      <c r="J58" s="203">
        <f t="shared" si="0"/>
        <v>4150978.3333333335</v>
      </c>
      <c r="M58" s="18"/>
    </row>
    <row r="59" spans="2:13" x14ac:dyDescent="0.2">
      <c r="B59" s="417"/>
      <c r="C59" s="90" t="s">
        <v>205</v>
      </c>
      <c r="D59" s="194">
        <v>3558576.666666667</v>
      </c>
      <c r="E59" s="199">
        <v>2472809.166666667</v>
      </c>
      <c r="F59" s="199">
        <v>0</v>
      </c>
      <c r="G59" s="199">
        <v>2503897.5</v>
      </c>
      <c r="H59" s="199">
        <v>4078155.8333333335</v>
      </c>
      <c r="I59" s="199">
        <v>211959.16666666666</v>
      </c>
      <c r="J59" s="190">
        <f t="shared" si="0"/>
        <v>4245168.333333333</v>
      </c>
      <c r="M59" s="18"/>
    </row>
    <row r="60" spans="2:13" x14ac:dyDescent="0.2">
      <c r="B60" s="417"/>
      <c r="C60" s="90" t="s">
        <v>206</v>
      </c>
      <c r="D60" s="194">
        <v>4065413.3333333335</v>
      </c>
      <c r="E60" s="199">
        <v>2494178.333333334</v>
      </c>
      <c r="F60" s="199">
        <v>0</v>
      </c>
      <c r="G60" s="199">
        <v>2394679.166666667</v>
      </c>
      <c r="H60" s="199">
        <v>4347245.833333333</v>
      </c>
      <c r="I60" s="199">
        <v>248075.83333333334</v>
      </c>
      <c r="J60" s="190">
        <f t="shared" si="0"/>
        <v>4358949.1666666698</v>
      </c>
      <c r="M60" s="18"/>
    </row>
    <row r="61" spans="2:13" x14ac:dyDescent="0.2">
      <c r="B61" s="417"/>
      <c r="C61" s="89" t="s">
        <v>207</v>
      </c>
      <c r="D61" s="195">
        <v>4310316.666666667</v>
      </c>
      <c r="E61" s="196">
        <v>2475927.5</v>
      </c>
      <c r="F61" s="196">
        <v>0</v>
      </c>
      <c r="G61" s="196">
        <v>2015921.6666666667</v>
      </c>
      <c r="H61" s="196">
        <v>3752735.8333333335</v>
      </c>
      <c r="I61" s="196">
        <v>221496.66666666669</v>
      </c>
      <c r="J61" s="191">
        <f>D61+E61+F61+G61-H61-I61</f>
        <v>4827933.333333333</v>
      </c>
      <c r="M61" s="18"/>
    </row>
    <row r="62" spans="2:13" x14ac:dyDescent="0.2">
      <c r="B62" s="417">
        <v>2018</v>
      </c>
      <c r="C62" s="197" t="s">
        <v>204</v>
      </c>
      <c r="D62" s="193">
        <v>4591228.333333333</v>
      </c>
      <c r="E62" s="198">
        <v>2411483.3333333335</v>
      </c>
      <c r="F62" s="198">
        <v>0</v>
      </c>
      <c r="G62" s="198">
        <v>1858923.3333333335</v>
      </c>
      <c r="H62" s="198">
        <v>3926622.5</v>
      </c>
      <c r="I62" s="198">
        <v>203158.33333333337</v>
      </c>
      <c r="J62" s="203">
        <f t="shared" si="0"/>
        <v>4731854.166666667</v>
      </c>
      <c r="M62" s="18"/>
    </row>
    <row r="63" spans="2:13" x14ac:dyDescent="0.2">
      <c r="B63" s="417"/>
      <c r="C63" s="90" t="s">
        <v>205</v>
      </c>
      <c r="D63" s="194">
        <v>3733610.3883333337</v>
      </c>
      <c r="E63" s="199">
        <v>2655677.5475000003</v>
      </c>
      <c r="F63" s="199">
        <v>0</v>
      </c>
      <c r="G63" s="199">
        <v>1582738.6983333332</v>
      </c>
      <c r="H63" s="199">
        <v>3776491.2324999999</v>
      </c>
      <c r="I63" s="199">
        <v>240645.40333333332</v>
      </c>
      <c r="J63" s="190">
        <f t="shared" si="0"/>
        <v>3954889.998333334</v>
      </c>
      <c r="M63" s="18"/>
    </row>
    <row r="64" spans="2:13" x14ac:dyDescent="0.2">
      <c r="B64" s="417"/>
      <c r="C64" s="90" t="s">
        <v>206</v>
      </c>
      <c r="D64" s="194">
        <v>3613174.9999999995</v>
      </c>
      <c r="E64" s="199">
        <v>2701165</v>
      </c>
      <c r="F64" s="199">
        <v>0</v>
      </c>
      <c r="G64" s="199">
        <v>1837478.3333333335</v>
      </c>
      <c r="H64" s="199">
        <v>3433293.333333334</v>
      </c>
      <c r="I64" s="199">
        <v>267796.66666666669</v>
      </c>
      <c r="J64" s="190">
        <f t="shared" si="0"/>
        <v>4450728.333333333</v>
      </c>
      <c r="M64" s="18"/>
    </row>
    <row r="65" spans="2:10" x14ac:dyDescent="0.2">
      <c r="B65" s="417"/>
      <c r="C65" s="89" t="s">
        <v>207</v>
      </c>
      <c r="D65" s="195">
        <v>4172833.333333334</v>
      </c>
      <c r="E65" s="196">
        <v>2741865.833333334</v>
      </c>
      <c r="F65" s="196">
        <v>0</v>
      </c>
      <c r="G65" s="196">
        <v>1749765</v>
      </c>
      <c r="H65" s="196">
        <v>3230270.0000000005</v>
      </c>
      <c r="I65" s="196">
        <v>264935</v>
      </c>
      <c r="J65" s="191">
        <f>D65+E65+F65+G65-H65-I65</f>
        <v>5169259.1666666679</v>
      </c>
    </row>
    <row r="66" spans="2:10" x14ac:dyDescent="0.2">
      <c r="B66" s="417">
        <v>2019</v>
      </c>
      <c r="C66" s="197" t="s">
        <v>204</v>
      </c>
      <c r="D66" s="193">
        <v>4302768.333333333</v>
      </c>
      <c r="E66" s="198">
        <v>2874955</v>
      </c>
      <c r="F66" s="198">
        <v>0</v>
      </c>
      <c r="G66" s="198">
        <v>1634031.6666666667</v>
      </c>
      <c r="H66" s="198">
        <v>3251654.1666666665</v>
      </c>
      <c r="I66" s="198">
        <v>227423.33333333331</v>
      </c>
      <c r="J66" s="203">
        <v>5332677.5000000019</v>
      </c>
    </row>
    <row r="67" spans="2:10" x14ac:dyDescent="0.2">
      <c r="B67" s="417"/>
      <c r="C67" s="90" t="s">
        <v>205</v>
      </c>
      <c r="D67" s="194">
        <v>4210043.0911500007</v>
      </c>
      <c r="E67" s="199">
        <v>3134482.8366666669</v>
      </c>
      <c r="F67" s="199">
        <v>0</v>
      </c>
      <c r="G67" s="199">
        <v>1622885.9231083333</v>
      </c>
      <c r="H67" s="199">
        <v>3330751.3027750007</v>
      </c>
      <c r="I67" s="199">
        <v>215694.79433333332</v>
      </c>
      <c r="J67" s="190">
        <v>5420965.753816667</v>
      </c>
    </row>
    <row r="68" spans="2:10" x14ac:dyDescent="0.2">
      <c r="B68" s="417"/>
      <c r="C68" s="90" t="s">
        <v>206</v>
      </c>
      <c r="D68" s="194">
        <v>4062042.000266667</v>
      </c>
      <c r="E68" s="199">
        <v>3138330.9041666673</v>
      </c>
      <c r="F68" s="199">
        <v>0</v>
      </c>
      <c r="G68" s="199">
        <v>1612729.9724166666</v>
      </c>
      <c r="H68" s="199">
        <v>3361299.8339249999</v>
      </c>
      <c r="I68" s="199">
        <v>329842.36268333328</v>
      </c>
      <c r="J68" s="190">
        <v>5121960.6802416677</v>
      </c>
    </row>
    <row r="69" spans="2:10" x14ac:dyDescent="0.2">
      <c r="B69" s="417"/>
      <c r="C69" s="89" t="s">
        <v>207</v>
      </c>
      <c r="D69" s="195">
        <v>4606658.5721749999</v>
      </c>
      <c r="E69" s="196">
        <v>3373278.95</v>
      </c>
      <c r="F69" s="196">
        <v>0</v>
      </c>
      <c r="G69" s="196">
        <v>1487733.0732999998</v>
      </c>
      <c r="H69" s="196">
        <v>3955987.9132333337</v>
      </c>
      <c r="I69" s="196">
        <v>334946.02221666666</v>
      </c>
      <c r="J69" s="191">
        <v>5176736.6600249996</v>
      </c>
    </row>
    <row r="70" spans="2:10" x14ac:dyDescent="0.2">
      <c r="B70" s="417">
        <v>2020</v>
      </c>
      <c r="C70" s="197" t="s">
        <v>204</v>
      </c>
      <c r="D70" s="193">
        <v>3308359.1846250007</v>
      </c>
      <c r="E70" s="198">
        <v>3320810.9938416663</v>
      </c>
      <c r="F70" s="198">
        <v>0</v>
      </c>
      <c r="G70" s="198">
        <v>1461985.4802249998</v>
      </c>
      <c r="H70" s="198">
        <v>2825865.7798416666</v>
      </c>
      <c r="I70" s="198">
        <v>366768.18281666667</v>
      </c>
      <c r="J70" s="203">
        <v>5063800.5030333344</v>
      </c>
    </row>
    <row r="71" spans="2:10" x14ac:dyDescent="0.2">
      <c r="B71" s="417"/>
      <c r="C71" s="90" t="s">
        <v>205</v>
      </c>
      <c r="D71" s="194">
        <v>3340901.7927333335</v>
      </c>
      <c r="E71" s="199">
        <v>3490520.3622250003</v>
      </c>
      <c r="F71" s="199">
        <v>0</v>
      </c>
      <c r="G71" s="199">
        <v>1471734.7914249999</v>
      </c>
      <c r="H71" s="199">
        <v>2502893.5385916666</v>
      </c>
      <c r="I71" s="199">
        <v>315355.56628333335</v>
      </c>
      <c r="J71" s="190">
        <v>5656349.4254833329</v>
      </c>
    </row>
    <row r="72" spans="2:10" x14ac:dyDescent="0.2">
      <c r="B72" s="417"/>
      <c r="C72" s="90" t="s">
        <v>206</v>
      </c>
      <c r="D72" s="194">
        <v>4604965.0534833334</v>
      </c>
      <c r="E72" s="199">
        <v>3579685.9526916663</v>
      </c>
      <c r="F72" s="199">
        <v>0</v>
      </c>
      <c r="G72" s="199">
        <v>1362033.8007416667</v>
      </c>
      <c r="H72" s="199">
        <v>3797379.8676166669</v>
      </c>
      <c r="I72" s="199">
        <v>306301.27193333337</v>
      </c>
      <c r="J72" s="190">
        <v>5618260.7389499992</v>
      </c>
    </row>
    <row r="73" spans="2:10" x14ac:dyDescent="0.2">
      <c r="B73" s="417"/>
      <c r="C73" s="89" t="s">
        <v>207</v>
      </c>
      <c r="D73" s="195">
        <v>3985023.8646000004</v>
      </c>
      <c r="E73" s="196">
        <v>3652499.0816750005</v>
      </c>
      <c r="F73" s="196">
        <v>0</v>
      </c>
      <c r="G73" s="196">
        <v>1115404.9715750001</v>
      </c>
      <c r="H73" s="196">
        <v>2740559.6577416668</v>
      </c>
      <c r="I73" s="196">
        <v>304110.62438333337</v>
      </c>
      <c r="J73" s="191">
        <v>5889755.2644816684</v>
      </c>
    </row>
    <row r="74" spans="2:10" x14ac:dyDescent="0.2">
      <c r="B74" s="74" t="s">
        <v>234</v>
      </c>
      <c r="C74" s="53"/>
      <c r="D74" s="53"/>
      <c r="E74" s="53"/>
      <c r="F74" s="53"/>
      <c r="G74" s="53"/>
      <c r="H74" s="53"/>
      <c r="I74" s="53"/>
      <c r="J74" s="53"/>
    </row>
  </sheetData>
  <mergeCells count="21">
    <mergeCell ref="B22:B25"/>
    <mergeCell ref="B26:B29"/>
    <mergeCell ref="B30:B33"/>
    <mergeCell ref="H11:I11"/>
    <mergeCell ref="J11:J12"/>
    <mergeCell ref="B70:B73"/>
    <mergeCell ref="B66:B69"/>
    <mergeCell ref="B34:B37"/>
    <mergeCell ref="B38:B41"/>
    <mergeCell ref="C6:I6"/>
    <mergeCell ref="B62:B65"/>
    <mergeCell ref="B42:B45"/>
    <mergeCell ref="D11:G11"/>
    <mergeCell ref="B58:B61"/>
    <mergeCell ref="D10:J10"/>
    <mergeCell ref="B46:B49"/>
    <mergeCell ref="B50:B53"/>
    <mergeCell ref="B54:B57"/>
    <mergeCell ref="D13:J13"/>
    <mergeCell ref="B14:B17"/>
    <mergeCell ref="B18:B21"/>
  </mergeCells>
  <pageMargins left="0.7" right="0.7" top="0.75" bottom="0.75" header="0.3" footer="0.3"/>
  <pageSetup scale="9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6529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47625</xdr:colOff>
                <xdr:row>4</xdr:row>
                <xdr:rowOff>95250</xdr:rowOff>
              </to>
            </anchor>
          </objectPr>
        </oleObject>
      </mc:Choice>
      <mc:Fallback>
        <oleObject progId="MSPhotoEd.3" shapeId="40652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76"/>
  <sheetViews>
    <sheetView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K43" sqref="K43"/>
    </sheetView>
  </sheetViews>
  <sheetFormatPr defaultRowHeight="12.75" x14ac:dyDescent="0.2"/>
  <cols>
    <col min="1" max="3" width="9.140625" style="17"/>
    <col min="4" max="4" width="11.5703125" style="17" customWidth="1"/>
    <col min="5" max="5" width="10.28515625" style="17" bestFit="1" customWidth="1"/>
    <col min="6" max="6" width="13.85546875" style="17" bestFit="1" customWidth="1"/>
    <col min="7" max="7" width="11.5703125" style="17" customWidth="1"/>
    <col min="8" max="9" width="10.28515625" style="17" bestFit="1" customWidth="1"/>
    <col min="10" max="16384" width="9.140625" style="17"/>
  </cols>
  <sheetData>
    <row r="2" spans="2:10" x14ac:dyDescent="0.2">
      <c r="G2" s="144" t="s">
        <v>253</v>
      </c>
    </row>
    <row r="6" spans="2:10" ht="15.75" x14ac:dyDescent="0.25">
      <c r="B6" s="150">
        <v>12.04</v>
      </c>
      <c r="C6" s="399" t="s">
        <v>269</v>
      </c>
      <c r="D6" s="399"/>
      <c r="E6" s="399"/>
      <c r="F6" s="399"/>
      <c r="G6" s="399"/>
      <c r="H6" s="399"/>
      <c r="I6" s="399"/>
      <c r="J6" s="143"/>
    </row>
    <row r="7" spans="2:10" x14ac:dyDescent="0.2">
      <c r="B7" s="25"/>
      <c r="C7" s="25"/>
    </row>
    <row r="11" spans="2:10" x14ac:dyDescent="0.2">
      <c r="D11" s="425" t="s">
        <v>229</v>
      </c>
      <c r="E11" s="426"/>
      <c r="F11" s="426"/>
      <c r="G11" s="420" t="s">
        <v>230</v>
      </c>
      <c r="H11" s="420"/>
      <c r="I11" s="420"/>
    </row>
    <row r="12" spans="2:10" x14ac:dyDescent="0.2">
      <c r="D12" s="418"/>
      <c r="E12" s="419"/>
      <c r="F12" s="419"/>
      <c r="G12" s="420"/>
      <c r="H12" s="420"/>
      <c r="I12" s="420"/>
    </row>
    <row r="13" spans="2:10" ht="31.9" customHeight="1" x14ac:dyDescent="0.2">
      <c r="D13" s="192" t="s">
        <v>226</v>
      </c>
      <c r="E13" s="192" t="s">
        <v>227</v>
      </c>
      <c r="F13" s="204" t="s">
        <v>225</v>
      </c>
      <c r="G13" s="192" t="s">
        <v>226</v>
      </c>
      <c r="H13" s="192" t="s">
        <v>227</v>
      </c>
      <c r="I13" s="192" t="s">
        <v>228</v>
      </c>
    </row>
    <row r="14" spans="2:10" x14ac:dyDescent="0.2">
      <c r="D14" s="421" t="s">
        <v>209</v>
      </c>
      <c r="E14" s="421"/>
      <c r="F14" s="421"/>
      <c r="G14" s="421"/>
      <c r="H14" s="421"/>
      <c r="I14" s="421"/>
    </row>
    <row r="15" spans="2:10" hidden="1" x14ac:dyDescent="0.2">
      <c r="B15" s="424">
        <v>2006</v>
      </c>
      <c r="C15" s="205" t="s">
        <v>204</v>
      </c>
      <c r="D15" s="198">
        <v>5295737.5000000009</v>
      </c>
      <c r="E15" s="198">
        <v>1160519.1666666667</v>
      </c>
      <c r="F15" s="198">
        <f>D15+E15</f>
        <v>6456256.6666666679</v>
      </c>
      <c r="G15" s="198">
        <v>1802330.8333333335</v>
      </c>
      <c r="H15" s="198">
        <v>606851.66666666674</v>
      </c>
      <c r="I15" s="198">
        <f>G15+H15</f>
        <v>2409182.5</v>
      </c>
    </row>
    <row r="16" spans="2:10" hidden="1" x14ac:dyDescent="0.2">
      <c r="B16" s="424"/>
      <c r="C16" s="205" t="s">
        <v>205</v>
      </c>
      <c r="D16" s="199">
        <v>5675250.833333333</v>
      </c>
      <c r="E16" s="199">
        <v>1112460</v>
      </c>
      <c r="F16" s="199">
        <f t="shared" ref="F16:F62" si="0">D16+E16</f>
        <v>6787710.833333333</v>
      </c>
      <c r="G16" s="199">
        <v>1844421.6666666667</v>
      </c>
      <c r="H16" s="199">
        <v>1299734.1666666667</v>
      </c>
      <c r="I16" s="199">
        <f t="shared" ref="I16:I62" si="1">G16+H16</f>
        <v>3144155.8333333335</v>
      </c>
    </row>
    <row r="17" spans="2:9" hidden="1" x14ac:dyDescent="0.2">
      <c r="B17" s="424"/>
      <c r="C17" s="205" t="s">
        <v>206</v>
      </c>
      <c r="D17" s="199">
        <v>5666833.333333334</v>
      </c>
      <c r="E17" s="199">
        <v>1090727.5</v>
      </c>
      <c r="F17" s="199">
        <f t="shared" si="0"/>
        <v>6757560.833333334</v>
      </c>
      <c r="G17" s="199">
        <v>1932232.5000000002</v>
      </c>
      <c r="H17" s="199">
        <v>1284187.5</v>
      </c>
      <c r="I17" s="199">
        <f t="shared" si="1"/>
        <v>3216420</v>
      </c>
    </row>
    <row r="18" spans="2:9" hidden="1" x14ac:dyDescent="0.2">
      <c r="B18" s="424"/>
      <c r="C18" s="205" t="s">
        <v>207</v>
      </c>
      <c r="D18" s="196">
        <v>6239292.5</v>
      </c>
      <c r="E18" s="196">
        <v>1117210</v>
      </c>
      <c r="F18" s="196">
        <f t="shared" si="0"/>
        <v>7356502.5</v>
      </c>
      <c r="G18" s="196">
        <v>2127312.5</v>
      </c>
      <c r="H18" s="196">
        <v>1213384.1666666667</v>
      </c>
      <c r="I18" s="196">
        <f t="shared" si="1"/>
        <v>3340696.666666667</v>
      </c>
    </row>
    <row r="19" spans="2:9" hidden="1" x14ac:dyDescent="0.2">
      <c r="B19" s="424">
        <v>2007</v>
      </c>
      <c r="C19" s="205" t="s">
        <v>204</v>
      </c>
      <c r="D19" s="198">
        <v>6863941.666666667</v>
      </c>
      <c r="E19" s="198">
        <v>1069687.5</v>
      </c>
      <c r="F19" s="198">
        <f t="shared" si="0"/>
        <v>7933629.166666667</v>
      </c>
      <c r="G19" s="198">
        <v>2061716.6666666667</v>
      </c>
      <c r="H19" s="198">
        <v>1406937.5</v>
      </c>
      <c r="I19" s="198">
        <f t="shared" si="1"/>
        <v>3468654.166666667</v>
      </c>
    </row>
    <row r="20" spans="2:9" hidden="1" x14ac:dyDescent="0.2">
      <c r="B20" s="424"/>
      <c r="C20" s="205" t="s">
        <v>205</v>
      </c>
      <c r="D20" s="199">
        <v>6894936.666666667</v>
      </c>
      <c r="E20" s="199">
        <v>1353752.5</v>
      </c>
      <c r="F20" s="199">
        <f t="shared" si="0"/>
        <v>8248689.166666667</v>
      </c>
      <c r="G20" s="199">
        <v>2130780</v>
      </c>
      <c r="H20" s="199">
        <v>1420726.6666666667</v>
      </c>
      <c r="I20" s="199">
        <f t="shared" si="1"/>
        <v>3551506.666666667</v>
      </c>
    </row>
    <row r="21" spans="2:9" hidden="1" x14ac:dyDescent="0.2">
      <c r="B21" s="424"/>
      <c r="C21" s="205" t="s">
        <v>206</v>
      </c>
      <c r="D21" s="199">
        <v>5086092.5</v>
      </c>
      <c r="E21" s="199">
        <v>3101539.166666667</v>
      </c>
      <c r="F21" s="199">
        <f t="shared" si="0"/>
        <v>8187631.666666667</v>
      </c>
      <c r="G21" s="199">
        <v>2198404.166666667</v>
      </c>
      <c r="H21" s="199">
        <v>1411459.1666666667</v>
      </c>
      <c r="I21" s="199">
        <f t="shared" si="1"/>
        <v>3609863.333333334</v>
      </c>
    </row>
    <row r="22" spans="2:9" hidden="1" x14ac:dyDescent="0.2">
      <c r="B22" s="424"/>
      <c r="C22" s="205" t="s">
        <v>207</v>
      </c>
      <c r="D22" s="196">
        <v>5332870.833333333</v>
      </c>
      <c r="E22" s="196">
        <v>2934461.666666667</v>
      </c>
      <c r="F22" s="196">
        <f t="shared" si="0"/>
        <v>8267332.5</v>
      </c>
      <c r="G22" s="196">
        <v>2257021.666666667</v>
      </c>
      <c r="H22" s="196">
        <v>1417380.8333333335</v>
      </c>
      <c r="I22" s="196">
        <f t="shared" si="1"/>
        <v>3674402.5000000005</v>
      </c>
    </row>
    <row r="23" spans="2:9" hidden="1" x14ac:dyDescent="0.2">
      <c r="B23" s="424">
        <v>2008</v>
      </c>
      <c r="C23" s="205" t="s">
        <v>204</v>
      </c>
      <c r="D23" s="198">
        <v>5487030.0000000009</v>
      </c>
      <c r="E23" s="198">
        <v>3482681.666666667</v>
      </c>
      <c r="F23" s="198">
        <f t="shared" si="0"/>
        <v>8969711.6666666679</v>
      </c>
      <c r="G23" s="198">
        <v>2255848.3333333335</v>
      </c>
      <c r="H23" s="198">
        <v>1766520.8333333335</v>
      </c>
      <c r="I23" s="198">
        <f t="shared" si="1"/>
        <v>4022369.166666667</v>
      </c>
    </row>
    <row r="24" spans="2:9" hidden="1" x14ac:dyDescent="0.2">
      <c r="B24" s="424"/>
      <c r="C24" s="205" t="s">
        <v>205</v>
      </c>
      <c r="D24" s="199">
        <v>4919281.666666667</v>
      </c>
      <c r="E24" s="199">
        <v>3929444.166666667</v>
      </c>
      <c r="F24" s="199">
        <f t="shared" si="0"/>
        <v>8848725.833333334</v>
      </c>
      <c r="G24" s="199">
        <v>2408967.5</v>
      </c>
      <c r="H24" s="199">
        <v>1642533.3333333335</v>
      </c>
      <c r="I24" s="199">
        <f t="shared" si="1"/>
        <v>4051500.8333333335</v>
      </c>
    </row>
    <row r="25" spans="2:9" hidden="1" x14ac:dyDescent="0.2">
      <c r="B25" s="424"/>
      <c r="C25" s="205" t="s">
        <v>206</v>
      </c>
      <c r="D25" s="199">
        <v>4594076.666666667</v>
      </c>
      <c r="E25" s="199">
        <v>3750563.3333333335</v>
      </c>
      <c r="F25" s="199">
        <f t="shared" si="0"/>
        <v>8344640</v>
      </c>
      <c r="G25" s="199">
        <v>2512477.5</v>
      </c>
      <c r="H25" s="199">
        <v>1624015</v>
      </c>
      <c r="I25" s="199">
        <f t="shared" si="1"/>
        <v>4136492.5</v>
      </c>
    </row>
    <row r="26" spans="2:9" hidden="1" x14ac:dyDescent="0.2">
      <c r="B26" s="424"/>
      <c r="C26" s="205" t="s">
        <v>207</v>
      </c>
      <c r="D26" s="196">
        <v>5484585.8009666661</v>
      </c>
      <c r="E26" s="196">
        <v>3732739.166666667</v>
      </c>
      <c r="F26" s="196">
        <f t="shared" si="0"/>
        <v>9217324.9676333331</v>
      </c>
      <c r="G26" s="196">
        <v>2763132.5</v>
      </c>
      <c r="H26" s="196">
        <v>1552128.3333333335</v>
      </c>
      <c r="I26" s="196">
        <f t="shared" si="1"/>
        <v>4315260.833333334</v>
      </c>
    </row>
    <row r="27" spans="2:9" hidden="1" x14ac:dyDescent="0.2">
      <c r="B27" s="424">
        <v>2009</v>
      </c>
      <c r="C27" s="205" t="s">
        <v>204</v>
      </c>
      <c r="D27" s="198">
        <v>7822686.666666667</v>
      </c>
      <c r="E27" s="198">
        <v>1693250.8333333335</v>
      </c>
      <c r="F27" s="198">
        <f t="shared" si="0"/>
        <v>9515937.5</v>
      </c>
      <c r="G27" s="198">
        <v>2853677.5000000005</v>
      </c>
      <c r="H27" s="198">
        <v>1536618.3333333335</v>
      </c>
      <c r="I27" s="198">
        <f t="shared" si="1"/>
        <v>4390295.833333334</v>
      </c>
    </row>
    <row r="28" spans="2:9" hidden="1" x14ac:dyDescent="0.2">
      <c r="B28" s="424"/>
      <c r="C28" s="205" t="s">
        <v>205</v>
      </c>
      <c r="D28" s="199">
        <v>5649327.5</v>
      </c>
      <c r="E28" s="199">
        <v>2874517.5</v>
      </c>
      <c r="F28" s="199">
        <f t="shared" si="0"/>
        <v>8523845</v>
      </c>
      <c r="G28" s="199">
        <v>3002872.5</v>
      </c>
      <c r="H28" s="199">
        <v>1543071.6666666667</v>
      </c>
      <c r="I28" s="199">
        <f t="shared" si="1"/>
        <v>4545944.166666667</v>
      </c>
    </row>
    <row r="29" spans="2:9" hidden="1" x14ac:dyDescent="0.2">
      <c r="B29" s="424"/>
      <c r="C29" s="205" t="s">
        <v>206</v>
      </c>
      <c r="D29" s="199">
        <v>5379067.5</v>
      </c>
      <c r="E29" s="199">
        <v>2741505.8333333335</v>
      </c>
      <c r="F29" s="199">
        <f t="shared" si="0"/>
        <v>8120573.333333334</v>
      </c>
      <c r="G29" s="199">
        <v>3027200.8333333335</v>
      </c>
      <c r="H29" s="199">
        <v>1535733.3333333335</v>
      </c>
      <c r="I29" s="199">
        <f t="shared" si="1"/>
        <v>4562934.166666667</v>
      </c>
    </row>
    <row r="30" spans="2:9" hidden="1" x14ac:dyDescent="0.2">
      <c r="B30" s="424"/>
      <c r="C30" s="205" t="s">
        <v>207</v>
      </c>
      <c r="D30" s="196">
        <v>5862127.5</v>
      </c>
      <c r="E30" s="196">
        <v>2677936.666666667</v>
      </c>
      <c r="F30" s="196">
        <f t="shared" si="0"/>
        <v>8540064.1666666679</v>
      </c>
      <c r="G30" s="196">
        <v>2836820.8333333335</v>
      </c>
      <c r="H30" s="196">
        <v>1536805.8333333335</v>
      </c>
      <c r="I30" s="196">
        <f t="shared" si="1"/>
        <v>4373626.666666667</v>
      </c>
    </row>
    <row r="31" spans="2:9" hidden="1" x14ac:dyDescent="0.2">
      <c r="B31" s="424">
        <v>2010</v>
      </c>
      <c r="C31" s="205" t="s">
        <v>204</v>
      </c>
      <c r="D31" s="198">
        <v>5942520.833333334</v>
      </c>
      <c r="E31" s="198">
        <v>2686735</v>
      </c>
      <c r="F31" s="198">
        <f t="shared" si="0"/>
        <v>8629255.833333334</v>
      </c>
      <c r="G31" s="198">
        <v>2860546.6666666665</v>
      </c>
      <c r="H31" s="198">
        <v>1503586.6666666667</v>
      </c>
      <c r="I31" s="198">
        <f t="shared" si="1"/>
        <v>4364133.333333333</v>
      </c>
    </row>
    <row r="32" spans="2:9" hidden="1" x14ac:dyDescent="0.2">
      <c r="B32" s="424"/>
      <c r="C32" s="205" t="s">
        <v>205</v>
      </c>
      <c r="D32" s="199">
        <v>6068355.0000000009</v>
      </c>
      <c r="E32" s="199">
        <v>2561280</v>
      </c>
      <c r="F32" s="199">
        <f t="shared" si="0"/>
        <v>8629635</v>
      </c>
      <c r="G32" s="199">
        <v>2905836.666666667</v>
      </c>
      <c r="H32" s="199">
        <v>1486119.1666666667</v>
      </c>
      <c r="I32" s="199">
        <f t="shared" si="1"/>
        <v>4391955.833333334</v>
      </c>
    </row>
    <row r="33" spans="2:9" hidden="1" x14ac:dyDescent="0.2">
      <c r="B33" s="424"/>
      <c r="C33" s="205" t="s">
        <v>206</v>
      </c>
      <c r="D33" s="199">
        <v>5187023.333333334</v>
      </c>
      <c r="E33" s="199">
        <v>3020530.8333333335</v>
      </c>
      <c r="F33" s="199">
        <f t="shared" si="0"/>
        <v>8207554.1666666679</v>
      </c>
      <c r="G33" s="199">
        <v>2932698.3333333335</v>
      </c>
      <c r="H33" s="199">
        <v>1515468.3333333335</v>
      </c>
      <c r="I33" s="199">
        <f t="shared" si="1"/>
        <v>4448166.666666667</v>
      </c>
    </row>
    <row r="34" spans="2:9" hidden="1" x14ac:dyDescent="0.2">
      <c r="B34" s="424"/>
      <c r="C34" s="205" t="s">
        <v>207</v>
      </c>
      <c r="D34" s="196">
        <v>5222180.833333334</v>
      </c>
      <c r="E34" s="196">
        <v>3076216.666666667</v>
      </c>
      <c r="F34" s="196">
        <f t="shared" si="0"/>
        <v>8298397.5000000009</v>
      </c>
      <c r="G34" s="196">
        <v>3008138.3333333335</v>
      </c>
      <c r="H34" s="196">
        <v>1447627.5</v>
      </c>
      <c r="I34" s="196">
        <f t="shared" si="1"/>
        <v>4455765.833333334</v>
      </c>
    </row>
    <row r="35" spans="2:9" hidden="1" x14ac:dyDescent="0.2">
      <c r="B35" s="424">
        <v>2011</v>
      </c>
      <c r="C35" s="205" t="s">
        <v>204</v>
      </c>
      <c r="D35" s="198">
        <v>5481383.333333334</v>
      </c>
      <c r="E35" s="198">
        <v>2956240.8333333335</v>
      </c>
      <c r="F35" s="198">
        <f t="shared" si="0"/>
        <v>8437624.1666666679</v>
      </c>
      <c r="G35" s="198">
        <v>2918219.1666666665</v>
      </c>
      <c r="H35" s="198">
        <v>1641586.6666666667</v>
      </c>
      <c r="I35" s="198">
        <f t="shared" si="1"/>
        <v>4559805.833333333</v>
      </c>
    </row>
    <row r="36" spans="2:9" hidden="1" x14ac:dyDescent="0.2">
      <c r="B36" s="424"/>
      <c r="C36" s="205" t="s">
        <v>205</v>
      </c>
      <c r="D36" s="199">
        <v>5347899.166666667</v>
      </c>
      <c r="E36" s="199">
        <v>3038579.166666667</v>
      </c>
      <c r="F36" s="199">
        <f t="shared" si="0"/>
        <v>8386478.333333334</v>
      </c>
      <c r="G36" s="199">
        <v>2985531.666666667</v>
      </c>
      <c r="H36" s="199">
        <v>1635760</v>
      </c>
      <c r="I36" s="199">
        <f t="shared" si="1"/>
        <v>4621291.666666667</v>
      </c>
    </row>
    <row r="37" spans="2:9" hidden="1" x14ac:dyDescent="0.2">
      <c r="B37" s="424"/>
      <c r="C37" s="205" t="s">
        <v>206</v>
      </c>
      <c r="D37" s="199">
        <v>5079090.833333333</v>
      </c>
      <c r="E37" s="199">
        <v>3070344.166666667</v>
      </c>
      <c r="F37" s="199">
        <f t="shared" si="0"/>
        <v>8149435</v>
      </c>
      <c r="G37" s="199">
        <v>3043334.1666666665</v>
      </c>
      <c r="H37" s="199">
        <v>1668207.5</v>
      </c>
      <c r="I37" s="199">
        <f t="shared" si="1"/>
        <v>4711541.666666666</v>
      </c>
    </row>
    <row r="38" spans="2:9" hidden="1" x14ac:dyDescent="0.2">
      <c r="B38" s="424"/>
      <c r="C38" s="205" t="s">
        <v>207</v>
      </c>
      <c r="D38" s="196">
        <v>4663166.666666667</v>
      </c>
      <c r="E38" s="196">
        <v>3580238.3333333335</v>
      </c>
      <c r="F38" s="196">
        <f t="shared" si="0"/>
        <v>8243405</v>
      </c>
      <c r="G38" s="196">
        <v>3106489.166666667</v>
      </c>
      <c r="H38" s="196">
        <v>1517171.6666666667</v>
      </c>
      <c r="I38" s="196">
        <f t="shared" si="1"/>
        <v>4623660.833333334</v>
      </c>
    </row>
    <row r="39" spans="2:9" hidden="1" x14ac:dyDescent="0.2">
      <c r="B39" s="424">
        <v>2012</v>
      </c>
      <c r="C39" s="205" t="s">
        <v>204</v>
      </c>
      <c r="D39" s="198">
        <v>5089440.833333333</v>
      </c>
      <c r="E39" s="198">
        <v>3396112.5</v>
      </c>
      <c r="F39" s="198">
        <f t="shared" si="0"/>
        <v>8485553.3333333321</v>
      </c>
      <c r="G39" s="198">
        <v>3081559.166666667</v>
      </c>
      <c r="H39" s="198">
        <v>1511430.8333333335</v>
      </c>
      <c r="I39" s="198">
        <f t="shared" si="1"/>
        <v>4592990</v>
      </c>
    </row>
    <row r="40" spans="2:9" hidden="1" x14ac:dyDescent="0.2">
      <c r="B40" s="424"/>
      <c r="C40" s="205" t="s">
        <v>205</v>
      </c>
      <c r="D40" s="199">
        <v>5208240</v>
      </c>
      <c r="E40" s="199">
        <v>3216194.166666667</v>
      </c>
      <c r="F40" s="199">
        <f t="shared" si="0"/>
        <v>8424434.1666666679</v>
      </c>
      <c r="G40" s="199">
        <v>3072214.1666666665</v>
      </c>
      <c r="H40" s="199">
        <v>1360091.6666666667</v>
      </c>
      <c r="I40" s="199">
        <f t="shared" si="1"/>
        <v>4432305.833333333</v>
      </c>
    </row>
    <row r="41" spans="2:9" hidden="1" x14ac:dyDescent="0.2">
      <c r="B41" s="424"/>
      <c r="C41" s="205" t="s">
        <v>206</v>
      </c>
      <c r="D41" s="199">
        <v>4862564.166666667</v>
      </c>
      <c r="E41" s="199">
        <v>3344095</v>
      </c>
      <c r="F41" s="199">
        <f t="shared" si="0"/>
        <v>8206659.166666667</v>
      </c>
      <c r="G41" s="199">
        <v>3063411.6666666665</v>
      </c>
      <c r="H41" s="199">
        <v>1346401.6666666667</v>
      </c>
      <c r="I41" s="199">
        <f t="shared" si="1"/>
        <v>4409813.333333333</v>
      </c>
    </row>
    <row r="42" spans="2:9" hidden="1" x14ac:dyDescent="0.2">
      <c r="B42" s="424"/>
      <c r="C42" s="205" t="s">
        <v>207</v>
      </c>
      <c r="D42" s="196">
        <v>5161759.166666667</v>
      </c>
      <c r="E42" s="196">
        <v>3584786.666666667</v>
      </c>
      <c r="F42" s="196">
        <f t="shared" si="0"/>
        <v>8746545.833333334</v>
      </c>
      <c r="G42" s="196">
        <v>3050577.5000000005</v>
      </c>
      <c r="H42" s="196">
        <v>1273855.8333333335</v>
      </c>
      <c r="I42" s="196">
        <f t="shared" si="1"/>
        <v>4324433.333333334</v>
      </c>
    </row>
    <row r="43" spans="2:9" x14ac:dyDescent="0.2">
      <c r="B43" s="424">
        <v>2013</v>
      </c>
      <c r="C43" s="205" t="s">
        <v>204</v>
      </c>
      <c r="D43" s="198">
        <v>5441794.166666667</v>
      </c>
      <c r="E43" s="198">
        <v>3255695</v>
      </c>
      <c r="F43" s="198">
        <f t="shared" si="0"/>
        <v>8697489.1666666679</v>
      </c>
      <c r="G43" s="198">
        <v>3006637.5000000005</v>
      </c>
      <c r="H43" s="198">
        <v>1299024.1666666667</v>
      </c>
      <c r="I43" s="198">
        <f t="shared" si="1"/>
        <v>4305661.666666667</v>
      </c>
    </row>
    <row r="44" spans="2:9" x14ac:dyDescent="0.2">
      <c r="B44" s="424"/>
      <c r="C44" s="205" t="s">
        <v>205</v>
      </c>
      <c r="D44" s="199">
        <v>5221440.833333334</v>
      </c>
      <c r="E44" s="199">
        <v>3065187.5</v>
      </c>
      <c r="F44" s="199">
        <f t="shared" si="0"/>
        <v>8286628.333333334</v>
      </c>
      <c r="G44" s="199">
        <v>2980108.3333333335</v>
      </c>
      <c r="H44" s="199">
        <v>716272.5</v>
      </c>
      <c r="I44" s="199">
        <f t="shared" si="1"/>
        <v>3696380.8333333335</v>
      </c>
    </row>
    <row r="45" spans="2:9" x14ac:dyDescent="0.2">
      <c r="B45" s="424"/>
      <c r="C45" s="205" t="s">
        <v>206</v>
      </c>
      <c r="D45" s="199">
        <v>5176465.833333334</v>
      </c>
      <c r="E45" s="199">
        <v>2795552.5</v>
      </c>
      <c r="F45" s="199">
        <f t="shared" si="0"/>
        <v>7972018.333333334</v>
      </c>
      <c r="G45" s="199">
        <v>2933335.8333333335</v>
      </c>
      <c r="H45" s="199">
        <v>821454.16666666674</v>
      </c>
      <c r="I45" s="199">
        <f t="shared" si="1"/>
        <v>3754790</v>
      </c>
    </row>
    <row r="46" spans="2:9" x14ac:dyDescent="0.2">
      <c r="B46" s="424"/>
      <c r="C46" s="205" t="s">
        <v>207</v>
      </c>
      <c r="D46" s="196">
        <v>5792222.5</v>
      </c>
      <c r="E46" s="196">
        <v>2815620</v>
      </c>
      <c r="F46" s="196">
        <f t="shared" si="0"/>
        <v>8607842.5</v>
      </c>
      <c r="G46" s="196">
        <v>2974690.8333333335</v>
      </c>
      <c r="H46" s="196">
        <v>864035.83333333337</v>
      </c>
      <c r="I46" s="196">
        <f t="shared" si="1"/>
        <v>3838726.666666667</v>
      </c>
    </row>
    <row r="47" spans="2:9" x14ac:dyDescent="0.2">
      <c r="B47" s="424">
        <v>2014</v>
      </c>
      <c r="C47" s="205" t="s">
        <v>204</v>
      </c>
      <c r="D47" s="198">
        <v>5559188.333333334</v>
      </c>
      <c r="E47" s="198">
        <v>2644537.5</v>
      </c>
      <c r="F47" s="198">
        <f t="shared" si="0"/>
        <v>8203725.833333334</v>
      </c>
      <c r="G47" s="198">
        <v>2957130</v>
      </c>
      <c r="H47" s="198">
        <v>893534.16666666674</v>
      </c>
      <c r="I47" s="198">
        <f t="shared" si="1"/>
        <v>3850664.166666667</v>
      </c>
    </row>
    <row r="48" spans="2:9" x14ac:dyDescent="0.2">
      <c r="B48" s="424"/>
      <c r="C48" s="205" t="s">
        <v>205</v>
      </c>
      <c r="D48" s="199">
        <v>5266235</v>
      </c>
      <c r="E48" s="199">
        <v>2626682.5</v>
      </c>
      <c r="F48" s="199">
        <f t="shared" si="0"/>
        <v>7892917.5</v>
      </c>
      <c r="G48" s="199">
        <v>2994020.8333333335</v>
      </c>
      <c r="H48" s="199">
        <v>892127.5</v>
      </c>
      <c r="I48" s="199">
        <f t="shared" si="1"/>
        <v>3886148.3333333335</v>
      </c>
    </row>
    <row r="49" spans="2:9" x14ac:dyDescent="0.2">
      <c r="B49" s="424"/>
      <c r="C49" s="205" t="s">
        <v>206</v>
      </c>
      <c r="D49" s="199">
        <v>5050810.833333334</v>
      </c>
      <c r="E49" s="199">
        <v>2628594.166666667</v>
      </c>
      <c r="F49" s="199">
        <f t="shared" si="0"/>
        <v>7679405.0000000009</v>
      </c>
      <c r="G49" s="199">
        <v>3010871.6666666665</v>
      </c>
      <c r="H49" s="199">
        <v>827419.16666666674</v>
      </c>
      <c r="I49" s="199">
        <f t="shared" si="1"/>
        <v>3838290.833333333</v>
      </c>
    </row>
    <row r="50" spans="2:9" x14ac:dyDescent="0.2">
      <c r="B50" s="424"/>
      <c r="C50" s="205" t="s">
        <v>207</v>
      </c>
      <c r="D50" s="196">
        <v>4836892.5</v>
      </c>
      <c r="E50" s="196">
        <v>2806760</v>
      </c>
      <c r="F50" s="196">
        <f t="shared" si="0"/>
        <v>7643652.5</v>
      </c>
      <c r="G50" s="196">
        <v>2971232.5000000005</v>
      </c>
      <c r="H50" s="196">
        <v>897188.33333333337</v>
      </c>
      <c r="I50" s="196">
        <f t="shared" si="1"/>
        <v>3868420.833333334</v>
      </c>
    </row>
    <row r="51" spans="2:9" x14ac:dyDescent="0.2">
      <c r="B51" s="424">
        <v>2015</v>
      </c>
      <c r="C51" s="205" t="s">
        <v>204</v>
      </c>
      <c r="D51" s="198">
        <v>4814313.333333334</v>
      </c>
      <c r="E51" s="198">
        <v>2906675</v>
      </c>
      <c r="F51" s="198">
        <f t="shared" si="0"/>
        <v>7720988.333333334</v>
      </c>
      <c r="G51" s="198">
        <v>2915870</v>
      </c>
      <c r="H51" s="198">
        <v>815971.66666666674</v>
      </c>
      <c r="I51" s="198">
        <f t="shared" si="1"/>
        <v>3731841.666666667</v>
      </c>
    </row>
    <row r="52" spans="2:9" x14ac:dyDescent="0.2">
      <c r="B52" s="424"/>
      <c r="C52" s="205" t="s">
        <v>205</v>
      </c>
      <c r="D52" s="199">
        <v>4921520</v>
      </c>
      <c r="E52" s="199">
        <v>2797320</v>
      </c>
      <c r="F52" s="199">
        <f t="shared" si="0"/>
        <v>7718840</v>
      </c>
      <c r="G52" s="199">
        <v>2946035.8333333335</v>
      </c>
      <c r="H52" s="199">
        <v>820903.33333333337</v>
      </c>
      <c r="I52" s="199">
        <f t="shared" si="1"/>
        <v>3766939.166666667</v>
      </c>
    </row>
    <row r="53" spans="2:9" x14ac:dyDescent="0.2">
      <c r="B53" s="424"/>
      <c r="C53" s="205" t="s">
        <v>206</v>
      </c>
      <c r="D53" s="199">
        <v>5354460</v>
      </c>
      <c r="E53" s="199">
        <v>4168993.3333333335</v>
      </c>
      <c r="F53" s="199">
        <f t="shared" si="0"/>
        <v>9523453.333333334</v>
      </c>
      <c r="G53" s="199">
        <v>3008930.0000000005</v>
      </c>
      <c r="H53" s="199">
        <v>2537550</v>
      </c>
      <c r="I53" s="199">
        <f t="shared" si="1"/>
        <v>5546480</v>
      </c>
    </row>
    <row r="54" spans="2:9" x14ac:dyDescent="0.2">
      <c r="B54" s="424"/>
      <c r="C54" s="205" t="s">
        <v>207</v>
      </c>
      <c r="D54" s="196">
        <v>5790253.333333334</v>
      </c>
      <c r="E54" s="196">
        <v>4549055.833333334</v>
      </c>
      <c r="F54" s="196">
        <f t="shared" si="0"/>
        <v>10339309.166666668</v>
      </c>
      <c r="G54" s="196">
        <v>2981218.3333333335</v>
      </c>
      <c r="H54" s="196">
        <v>2946961.666666667</v>
      </c>
      <c r="I54" s="196">
        <f t="shared" si="1"/>
        <v>5928180</v>
      </c>
    </row>
    <row r="55" spans="2:9" x14ac:dyDescent="0.2">
      <c r="B55" s="424">
        <v>2016</v>
      </c>
      <c r="C55" s="205" t="s">
        <v>204</v>
      </c>
      <c r="D55" s="198">
        <v>6013620.833333334</v>
      </c>
      <c r="E55" s="198">
        <v>4296330</v>
      </c>
      <c r="F55" s="198">
        <f t="shared" si="0"/>
        <v>10309950.833333334</v>
      </c>
      <c r="G55" s="198">
        <v>2954648.3333333335</v>
      </c>
      <c r="H55" s="198">
        <v>3009025</v>
      </c>
      <c r="I55" s="198">
        <f t="shared" si="1"/>
        <v>5963673.333333334</v>
      </c>
    </row>
    <row r="56" spans="2:9" x14ac:dyDescent="0.2">
      <c r="B56" s="424"/>
      <c r="C56" s="205" t="s">
        <v>205</v>
      </c>
      <c r="D56" s="199">
        <v>5794616.666666667</v>
      </c>
      <c r="E56" s="199">
        <v>4498472.5</v>
      </c>
      <c r="F56" s="199">
        <f t="shared" si="0"/>
        <v>10293089.166666668</v>
      </c>
      <c r="G56" s="199">
        <v>2983150</v>
      </c>
      <c r="H56" s="199">
        <v>3002696.666666667</v>
      </c>
      <c r="I56" s="199">
        <f t="shared" si="1"/>
        <v>5985846.666666667</v>
      </c>
    </row>
    <row r="57" spans="2:9" x14ac:dyDescent="0.2">
      <c r="B57" s="424"/>
      <c r="C57" s="205" t="s">
        <v>206</v>
      </c>
      <c r="D57" s="199">
        <v>5711267.6268100003</v>
      </c>
      <c r="E57" s="199">
        <v>4424934.166666667</v>
      </c>
      <c r="F57" s="199">
        <f t="shared" si="0"/>
        <v>10136201.793476667</v>
      </c>
      <c r="G57" s="199">
        <v>3066403.3333333335</v>
      </c>
      <c r="H57" s="199">
        <v>2902913.3333333335</v>
      </c>
      <c r="I57" s="199">
        <f t="shared" si="1"/>
        <v>5969316.666666667</v>
      </c>
    </row>
    <row r="58" spans="2:9" x14ac:dyDescent="0.2">
      <c r="B58" s="424"/>
      <c r="C58" s="205" t="s">
        <v>207</v>
      </c>
      <c r="D58" s="196">
        <v>6039650.0000000009</v>
      </c>
      <c r="E58" s="196">
        <v>4322721.666666666</v>
      </c>
      <c r="F58" s="196">
        <f t="shared" si="0"/>
        <v>10362371.666666668</v>
      </c>
      <c r="G58" s="196">
        <v>3083885.0000000005</v>
      </c>
      <c r="H58" s="196">
        <v>2652303.3333333335</v>
      </c>
      <c r="I58" s="196">
        <f t="shared" si="1"/>
        <v>5736188.333333334</v>
      </c>
    </row>
    <row r="59" spans="2:9" x14ac:dyDescent="0.2">
      <c r="B59" s="424">
        <v>2017</v>
      </c>
      <c r="C59" s="205" t="s">
        <v>204</v>
      </c>
      <c r="D59" s="198">
        <v>6148102.6268100012</v>
      </c>
      <c r="E59" s="198">
        <v>4351070.0000000009</v>
      </c>
      <c r="F59" s="198">
        <f t="shared" si="0"/>
        <v>10499172.626810003</v>
      </c>
      <c r="G59" s="198">
        <v>2957356.6761757354</v>
      </c>
      <c r="H59" s="198">
        <v>2815450.0000000009</v>
      </c>
      <c r="I59" s="198">
        <f t="shared" si="1"/>
        <v>5772806.6761757359</v>
      </c>
    </row>
    <row r="60" spans="2:9" x14ac:dyDescent="0.2">
      <c r="B60" s="424"/>
      <c r="C60" s="205" t="s">
        <v>205</v>
      </c>
      <c r="D60" s="199">
        <v>6351023.4601433342</v>
      </c>
      <c r="E60" s="199">
        <v>4078155.8333333335</v>
      </c>
      <c r="F60" s="199">
        <f t="shared" si="0"/>
        <v>10429179.293476667</v>
      </c>
      <c r="G60" s="199">
        <v>2951221.6678424026</v>
      </c>
      <c r="H60" s="199">
        <v>2503897.5</v>
      </c>
      <c r="I60" s="199">
        <f t="shared" si="1"/>
        <v>5455119.1678424031</v>
      </c>
    </row>
    <row r="61" spans="2:9" x14ac:dyDescent="0.2">
      <c r="B61" s="424"/>
      <c r="C61" s="205" t="s">
        <v>206</v>
      </c>
      <c r="D61" s="199">
        <v>6388718.333333334</v>
      </c>
      <c r="E61" s="199">
        <v>4347245.833333333</v>
      </c>
      <c r="F61" s="199">
        <f t="shared" si="0"/>
        <v>10735964.166666668</v>
      </c>
      <c r="G61" s="199">
        <v>2998730.0000000005</v>
      </c>
      <c r="H61" s="199">
        <v>2394679.166666667</v>
      </c>
      <c r="I61" s="199">
        <f t="shared" si="1"/>
        <v>5393409.1666666679</v>
      </c>
    </row>
    <row r="62" spans="2:9" x14ac:dyDescent="0.2">
      <c r="B62" s="424"/>
      <c r="C62" s="205" t="s">
        <v>207</v>
      </c>
      <c r="D62" s="196">
        <v>7166311.7934766673</v>
      </c>
      <c r="E62" s="196">
        <v>3752735.8333333335</v>
      </c>
      <c r="F62" s="196">
        <f t="shared" si="0"/>
        <v>10919047.626810001</v>
      </c>
      <c r="G62" s="196">
        <v>3188543.333333333</v>
      </c>
      <c r="H62" s="196">
        <v>2015921.6666666667</v>
      </c>
      <c r="I62" s="196">
        <f t="shared" si="1"/>
        <v>5204465</v>
      </c>
    </row>
    <row r="63" spans="2:9" x14ac:dyDescent="0.2">
      <c r="B63" s="424">
        <v>2018</v>
      </c>
      <c r="C63" s="205" t="s">
        <v>204</v>
      </c>
      <c r="D63" s="198">
        <v>7095600.833333334</v>
      </c>
      <c r="E63" s="198">
        <v>3926622.5</v>
      </c>
      <c r="F63" s="198">
        <f t="shared" ref="F63:F74" si="2">(D63+E63)</f>
        <v>11022223.333333334</v>
      </c>
      <c r="G63" s="198">
        <v>3373270.833333333</v>
      </c>
      <c r="H63" s="198">
        <v>1858923.3333333335</v>
      </c>
      <c r="I63" s="198">
        <f t="shared" ref="I63:I74" si="3">(G63+H63)</f>
        <v>5232194.166666666</v>
      </c>
    </row>
    <row r="64" spans="2:9" x14ac:dyDescent="0.2">
      <c r="B64" s="424"/>
      <c r="C64" s="205" t="s">
        <v>205</v>
      </c>
      <c r="D64" s="199">
        <v>6570358.3915833337</v>
      </c>
      <c r="E64" s="199">
        <v>3776491.2324999999</v>
      </c>
      <c r="F64" s="199">
        <f t="shared" si="2"/>
        <v>10346849.624083333</v>
      </c>
      <c r="G64" s="199">
        <v>3691895.3058333336</v>
      </c>
      <c r="H64" s="199">
        <v>1582738.6983333332</v>
      </c>
      <c r="I64" s="199">
        <f t="shared" si="3"/>
        <v>5274634.0041666664</v>
      </c>
    </row>
    <row r="65" spans="2:9" x14ac:dyDescent="0.2">
      <c r="B65" s="424"/>
      <c r="C65" s="205" t="s">
        <v>206</v>
      </c>
      <c r="D65" s="199">
        <v>6525949.5282500004</v>
      </c>
      <c r="E65" s="199">
        <v>3433293.333333334</v>
      </c>
      <c r="F65" s="199">
        <f t="shared" si="2"/>
        <v>9959242.8615833335</v>
      </c>
      <c r="G65" s="199">
        <v>3247970.8333333335</v>
      </c>
      <c r="H65" s="199">
        <v>1837478.3333333335</v>
      </c>
      <c r="I65" s="199">
        <f t="shared" si="3"/>
        <v>5085449.166666667</v>
      </c>
    </row>
    <row r="66" spans="2:9" x14ac:dyDescent="0.2">
      <c r="B66" s="424"/>
      <c r="C66" s="205" t="s">
        <v>207</v>
      </c>
      <c r="D66" s="196">
        <v>7247880.0341666667</v>
      </c>
      <c r="E66" s="196">
        <v>3230270.0000000005</v>
      </c>
      <c r="F66" s="196">
        <f t="shared" si="2"/>
        <v>10478150.034166668</v>
      </c>
      <c r="G66" s="196">
        <v>3066325.0000000005</v>
      </c>
      <c r="H66" s="196">
        <v>1749765</v>
      </c>
      <c r="I66" s="196">
        <f t="shared" si="3"/>
        <v>4816090</v>
      </c>
    </row>
    <row r="67" spans="2:9" x14ac:dyDescent="0.2">
      <c r="B67" s="424">
        <v>2019</v>
      </c>
      <c r="C67" s="205" t="s">
        <v>204</v>
      </c>
      <c r="D67" s="198">
        <v>7228433.333333333</v>
      </c>
      <c r="E67" s="198">
        <v>3251654.1666666665</v>
      </c>
      <c r="F67" s="198">
        <f t="shared" si="2"/>
        <v>10480087.5</v>
      </c>
      <c r="G67" s="198">
        <v>3125855</v>
      </c>
      <c r="H67" s="198">
        <v>1634031.6666666667</v>
      </c>
      <c r="I67" s="198">
        <f t="shared" si="3"/>
        <v>4759886.666666667</v>
      </c>
    </row>
    <row r="68" spans="2:9" x14ac:dyDescent="0.2">
      <c r="B68" s="424"/>
      <c r="C68" s="205" t="s">
        <v>205</v>
      </c>
      <c r="D68" s="199">
        <v>7272333.7109250007</v>
      </c>
      <c r="E68" s="199">
        <v>3330751.3027750007</v>
      </c>
      <c r="F68" s="199">
        <f t="shared" si="2"/>
        <v>10603085.013700001</v>
      </c>
      <c r="G68" s="199">
        <v>3125940.5958333337</v>
      </c>
      <c r="H68" s="199">
        <v>1622885.9231083333</v>
      </c>
      <c r="I68" s="199">
        <f t="shared" si="3"/>
        <v>4748826.5189416669</v>
      </c>
    </row>
    <row r="69" spans="2:9" x14ac:dyDescent="0.2">
      <c r="B69" s="424"/>
      <c r="C69" s="205" t="s">
        <v>206</v>
      </c>
      <c r="D69" s="199">
        <v>7057656.8238749998</v>
      </c>
      <c r="E69" s="199">
        <v>3361299.8339249999</v>
      </c>
      <c r="F69" s="199">
        <f t="shared" si="2"/>
        <v>10418956.6578</v>
      </c>
      <c r="G69" s="199">
        <v>3135487.7541666669</v>
      </c>
      <c r="H69" s="199">
        <v>1612729.9724166666</v>
      </c>
      <c r="I69" s="199">
        <f t="shared" si="3"/>
        <v>4748217.7265833337</v>
      </c>
    </row>
    <row r="70" spans="2:9" x14ac:dyDescent="0.2">
      <c r="B70" s="424"/>
      <c r="C70" s="205" t="s">
        <v>207</v>
      </c>
      <c r="D70" s="196">
        <v>7425823.0387833333</v>
      </c>
      <c r="E70" s="196">
        <v>3955987.9132333337</v>
      </c>
      <c r="F70" s="196">
        <f t="shared" si="2"/>
        <v>11381810.952016667</v>
      </c>
      <c r="G70" s="196">
        <v>3300890.6300000004</v>
      </c>
      <c r="H70" s="196">
        <v>1487733.0732999998</v>
      </c>
      <c r="I70" s="196">
        <f t="shared" si="3"/>
        <v>4788623.7033000002</v>
      </c>
    </row>
    <row r="71" spans="2:9" x14ac:dyDescent="0.2">
      <c r="B71" s="424">
        <v>2020</v>
      </c>
      <c r="C71" s="205" t="s">
        <v>204</v>
      </c>
      <c r="D71" s="198">
        <v>7306651.8896000013</v>
      </c>
      <c r="E71" s="198">
        <v>2825865.7798416666</v>
      </c>
      <c r="F71" s="198">
        <f t="shared" si="2"/>
        <v>10132517.669441668</v>
      </c>
      <c r="G71" s="198">
        <v>3405350.9388083336</v>
      </c>
      <c r="H71" s="198">
        <v>1461985.4802249998</v>
      </c>
      <c r="I71" s="198">
        <f t="shared" si="3"/>
        <v>4867336.4190333337</v>
      </c>
    </row>
    <row r="72" spans="2:9" x14ac:dyDescent="0.2">
      <c r="B72" s="424"/>
      <c r="C72" s="205" t="s">
        <v>205</v>
      </c>
      <c r="D72" s="199">
        <v>7822049.415533334</v>
      </c>
      <c r="E72" s="199">
        <v>2502893.5385916666</v>
      </c>
      <c r="F72" s="199">
        <f t="shared" si="2"/>
        <v>10324942.954125</v>
      </c>
      <c r="G72" s="199">
        <v>3350876.4334250004</v>
      </c>
      <c r="H72" s="199">
        <v>1471734.7914249999</v>
      </c>
      <c r="I72" s="199">
        <f t="shared" si="3"/>
        <v>4822611.2248500008</v>
      </c>
    </row>
    <row r="73" spans="2:9" x14ac:dyDescent="0.2">
      <c r="B73" s="424"/>
      <c r="C73" s="205" t="s">
        <v>206</v>
      </c>
      <c r="D73" s="199">
        <v>7745900.9524249993</v>
      </c>
      <c r="E73" s="199">
        <v>3797379.8676166669</v>
      </c>
      <c r="F73" s="199">
        <f t="shared" si="2"/>
        <v>11543280.820041666</v>
      </c>
      <c r="G73" s="199">
        <v>3391031.9444000004</v>
      </c>
      <c r="H73" s="199">
        <v>1362033.8007416667</v>
      </c>
      <c r="I73" s="199">
        <f t="shared" si="3"/>
        <v>4753065.7451416673</v>
      </c>
    </row>
    <row r="74" spans="2:9" x14ac:dyDescent="0.2">
      <c r="B74" s="424"/>
      <c r="C74" s="205" t="s">
        <v>207</v>
      </c>
      <c r="D74" s="196">
        <v>8025349.4077250008</v>
      </c>
      <c r="E74" s="196">
        <v>2740559.6577416668</v>
      </c>
      <c r="F74" s="196">
        <f t="shared" si="2"/>
        <v>10765909.065466668</v>
      </c>
      <c r="G74" s="196">
        <v>3432935.0895083332</v>
      </c>
      <c r="H74" s="196">
        <v>1115404.9715750001</v>
      </c>
      <c r="I74" s="196">
        <f t="shared" si="3"/>
        <v>4548340.0610833336</v>
      </c>
    </row>
    <row r="75" spans="2:9" x14ac:dyDescent="0.2">
      <c r="B75" s="200"/>
      <c r="C75" s="90"/>
      <c r="D75" s="199"/>
      <c r="E75" s="199"/>
      <c r="F75" s="199"/>
      <c r="G75" s="199"/>
      <c r="H75" s="199"/>
      <c r="I75" s="199"/>
    </row>
    <row r="76" spans="2:9" x14ac:dyDescent="0.2">
      <c r="B76" s="74" t="s">
        <v>234</v>
      </c>
      <c r="C76" s="53"/>
      <c r="D76" s="53"/>
      <c r="E76" s="53"/>
      <c r="F76" s="53"/>
      <c r="G76" s="53"/>
      <c r="H76" s="53"/>
      <c r="I76" s="53"/>
    </row>
  </sheetData>
  <mergeCells count="19">
    <mergeCell ref="C6:I6"/>
    <mergeCell ref="B63:B66"/>
    <mergeCell ref="B59:B62"/>
    <mergeCell ref="D11:F12"/>
    <mergeCell ref="G11:I12"/>
    <mergeCell ref="B55:B58"/>
    <mergeCell ref="D14:I14"/>
    <mergeCell ref="B15:B18"/>
    <mergeCell ref="B19:B22"/>
    <mergeCell ref="B23:B26"/>
    <mergeCell ref="B27:B30"/>
    <mergeCell ref="B31:B34"/>
    <mergeCell ref="B35:B38"/>
    <mergeCell ref="B39:B42"/>
    <mergeCell ref="B71:B74"/>
    <mergeCell ref="B43:B46"/>
    <mergeCell ref="B47:B50"/>
    <mergeCell ref="B51:B54"/>
    <mergeCell ref="B67:B70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7554" r:id="rId4">
          <objectPr defaultSize="0" autoPict="0" r:id="rId5">
            <anchor moveWithCells="1" sizeWithCells="1">
              <from>
                <xdr:col>0</xdr:col>
                <xdr:colOff>57150</xdr:colOff>
                <xdr:row>1</xdr:row>
                <xdr:rowOff>0</xdr:rowOff>
              </from>
              <to>
                <xdr:col>1</xdr:col>
                <xdr:colOff>104775</xdr:colOff>
                <xdr:row>4</xdr:row>
                <xdr:rowOff>28575</xdr:rowOff>
              </to>
            </anchor>
          </objectPr>
        </oleObject>
      </mc:Choice>
      <mc:Fallback>
        <oleObject progId="MSPhotoEd.3" shapeId="40755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Q55"/>
  <sheetViews>
    <sheetView view="pageBreakPreview" topLeftCell="A4" zoomScaleNormal="100" workbookViewId="0">
      <selection activeCell="T5" sqref="T5"/>
    </sheetView>
  </sheetViews>
  <sheetFormatPr defaultRowHeight="12.75" x14ac:dyDescent="0.2"/>
  <cols>
    <col min="1" max="2" width="2.85546875" customWidth="1"/>
    <col min="3" max="3" width="8.28515625" customWidth="1"/>
    <col min="4" max="4" width="24.7109375" customWidth="1"/>
    <col min="5" max="5" width="0.140625" hidden="1" customWidth="1" collapsed="1"/>
    <col min="6" max="6" width="10.28515625" hidden="1" customWidth="1"/>
    <col min="7" max="11" width="8.28515625" hidden="1" customWidth="1"/>
    <col min="12" max="12" width="9.5703125" hidden="1" customWidth="1"/>
    <col min="13" max="17" width="13.28515625" hidden="1" customWidth="1"/>
    <col min="18" max="19" width="13.28515625" customWidth="1"/>
    <col min="20" max="20" width="11.140625" customWidth="1"/>
    <col min="21" max="21" width="10.85546875" customWidth="1"/>
    <col min="22" max="23" width="13" bestFit="1" customWidth="1"/>
    <col min="24" max="24" width="11.28515625" bestFit="1" customWidth="1"/>
  </cols>
  <sheetData>
    <row r="1" spans="1:43" x14ac:dyDescent="0.2">
      <c r="A1" s="77"/>
    </row>
    <row r="4" spans="1:43" ht="15" x14ac:dyDescent="0.25">
      <c r="L4" s="427" t="s">
        <v>191</v>
      </c>
      <c r="M4" s="427"/>
      <c r="N4" s="427"/>
      <c r="O4" s="427"/>
      <c r="P4" s="427"/>
      <c r="Q4" s="427"/>
      <c r="R4" s="427"/>
      <c r="S4" s="427"/>
      <c r="T4" s="39"/>
    </row>
    <row r="5" spans="1:43" s="22" customFormat="1" ht="9" customHeight="1" x14ac:dyDescent="0.2"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8" spans="1:43" ht="15.75" x14ac:dyDescent="0.25">
      <c r="C8" s="52">
        <v>12.03</v>
      </c>
      <c r="D8" s="122" t="s">
        <v>194</v>
      </c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51"/>
      <c r="U8" s="28"/>
    </row>
    <row r="9" spans="1:43" x14ac:dyDescent="0.2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</row>
    <row r="10" spans="1:43" x14ac:dyDescent="0.2"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126" t="s">
        <v>134</v>
      </c>
      <c r="V10" s="126"/>
      <c r="W10" s="127"/>
      <c r="X10" s="127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</row>
    <row r="11" spans="1:43" x14ac:dyDescent="0.2">
      <c r="C11" s="53"/>
      <c r="D11" s="61"/>
      <c r="E11" s="61">
        <v>1990</v>
      </c>
      <c r="F11" s="62">
        <v>1998</v>
      </c>
      <c r="G11" s="62">
        <v>1999</v>
      </c>
      <c r="H11" s="62">
        <v>2000</v>
      </c>
      <c r="I11" s="76">
        <v>2001</v>
      </c>
      <c r="J11" s="62" t="s">
        <v>49</v>
      </c>
      <c r="K11" s="76">
        <v>2003</v>
      </c>
      <c r="L11" s="76">
        <v>2004</v>
      </c>
      <c r="M11" s="76">
        <v>2005</v>
      </c>
      <c r="N11" s="76">
        <v>2006</v>
      </c>
      <c r="O11" s="76">
        <v>2008</v>
      </c>
      <c r="P11" s="64">
        <v>2009</v>
      </c>
      <c r="Q11" s="64">
        <v>2010</v>
      </c>
      <c r="R11" s="65">
        <v>2011</v>
      </c>
      <c r="S11" s="76">
        <v>2012</v>
      </c>
      <c r="T11" s="76">
        <v>2013</v>
      </c>
      <c r="U11" s="76">
        <v>2014</v>
      </c>
      <c r="V11" s="76">
        <v>2015</v>
      </c>
      <c r="W11" s="76">
        <v>2016</v>
      </c>
    </row>
    <row r="12" spans="1:43" x14ac:dyDescent="0.2">
      <c r="C12" s="53"/>
      <c r="D12" s="74"/>
      <c r="E12" s="77"/>
      <c r="F12" s="74"/>
      <c r="G12" s="74"/>
      <c r="H12" s="74"/>
      <c r="I12" s="74"/>
      <c r="J12" s="74"/>
      <c r="K12" s="74"/>
      <c r="L12" s="74"/>
      <c r="M12" s="74"/>
      <c r="N12" s="74"/>
      <c r="O12" s="53"/>
      <c r="P12" s="53"/>
      <c r="Q12" s="53"/>
      <c r="R12" s="53"/>
      <c r="S12" s="53"/>
      <c r="T12" s="53"/>
      <c r="U12" s="53"/>
      <c r="V12" s="53"/>
      <c r="W12" s="53"/>
    </row>
    <row r="13" spans="1:43" x14ac:dyDescent="0.2">
      <c r="C13" s="53"/>
      <c r="D13" s="72" t="s">
        <v>4</v>
      </c>
      <c r="E13" s="70">
        <f t="shared" ref="E13:K13" si="0">SUM(E15:E27)</f>
        <v>269074</v>
      </c>
      <c r="F13" s="78">
        <f t="shared" si="0"/>
        <v>641435</v>
      </c>
      <c r="G13" s="78">
        <f t="shared" si="0"/>
        <v>855644</v>
      </c>
      <c r="H13" s="78">
        <f t="shared" si="0"/>
        <v>887542</v>
      </c>
      <c r="I13" s="78">
        <f t="shared" si="0"/>
        <v>887293</v>
      </c>
      <c r="J13" s="78">
        <f t="shared" si="0"/>
        <v>806930</v>
      </c>
      <c r="K13" s="78">
        <f t="shared" si="0"/>
        <v>997043.33333333349</v>
      </c>
      <c r="L13" s="78">
        <f t="shared" ref="L13:S13" si="1">SUM(L15:L28)</f>
        <v>1205430.8333333333</v>
      </c>
      <c r="M13" s="78">
        <f t="shared" si="1"/>
        <v>1047396.8333333334</v>
      </c>
      <c r="N13" s="79">
        <f t="shared" si="1"/>
        <v>1258750</v>
      </c>
      <c r="O13" s="79">
        <f t="shared" si="1"/>
        <v>1436814</v>
      </c>
      <c r="P13" s="79">
        <f t="shared" si="1"/>
        <v>1558714</v>
      </c>
      <c r="Q13" s="79">
        <f t="shared" si="1"/>
        <v>1664973</v>
      </c>
      <c r="R13" s="79">
        <f t="shared" si="1"/>
        <v>1612156</v>
      </c>
      <c r="S13" s="79">
        <f t="shared" si="1"/>
        <v>1650579</v>
      </c>
      <c r="T13" s="79">
        <v>1654483</v>
      </c>
      <c r="U13" s="79">
        <f>SUM(U15:U27)</f>
        <v>1948749.1666666667</v>
      </c>
      <c r="V13" s="79">
        <f>SUM(V15:V27)</f>
        <v>2025593</v>
      </c>
      <c r="W13" s="79"/>
      <c r="AQ13">
        <v>4932.3999999999996</v>
      </c>
    </row>
    <row r="14" spans="1:43" x14ac:dyDescent="0.2">
      <c r="C14" s="53"/>
      <c r="D14" s="72"/>
      <c r="E14" s="70"/>
      <c r="F14" s="78"/>
      <c r="G14" s="78"/>
      <c r="H14" s="78"/>
      <c r="I14" s="78"/>
      <c r="J14" s="78"/>
      <c r="K14" s="78"/>
      <c r="L14" s="78"/>
      <c r="M14" s="78"/>
      <c r="N14" s="79"/>
      <c r="O14" s="79"/>
      <c r="P14" s="79"/>
      <c r="Q14" s="79"/>
      <c r="R14" s="79"/>
      <c r="S14" s="79"/>
      <c r="T14" s="79"/>
      <c r="U14" s="79"/>
      <c r="V14" s="79"/>
      <c r="W14" s="79"/>
      <c r="AQ14">
        <v>2281.6999999999998</v>
      </c>
    </row>
    <row r="15" spans="1:43" x14ac:dyDescent="0.2">
      <c r="C15" s="53"/>
      <c r="D15" s="74" t="s">
        <v>69</v>
      </c>
      <c r="E15" s="77">
        <v>7867</v>
      </c>
      <c r="F15" s="80">
        <v>12166</v>
      </c>
      <c r="G15" s="80">
        <v>17376</v>
      </c>
      <c r="H15" s="80">
        <v>16278</v>
      </c>
      <c r="I15" s="80">
        <v>16047</v>
      </c>
      <c r="J15" s="80">
        <v>13760</v>
      </c>
      <c r="K15" s="80">
        <v>12435</v>
      </c>
      <c r="L15" s="80">
        <v>17886</v>
      </c>
      <c r="M15" s="80">
        <f>25026/1.2</f>
        <v>20855</v>
      </c>
      <c r="N15" s="77">
        <f>26562/1.2</f>
        <v>22135</v>
      </c>
      <c r="O15" s="54">
        <v>22928</v>
      </c>
      <c r="P15" s="54">
        <v>26810</v>
      </c>
      <c r="Q15" s="81">
        <v>26138</v>
      </c>
      <c r="R15" s="77">
        <v>28647</v>
      </c>
      <c r="S15" s="54">
        <v>29633</v>
      </c>
      <c r="T15" s="54">
        <f>38999/1.2</f>
        <v>32499.166666666668</v>
      </c>
      <c r="U15" s="125">
        <f>32611/1.2</f>
        <v>27175.833333333336</v>
      </c>
      <c r="V15" s="125">
        <v>31122</v>
      </c>
      <c r="W15" s="125"/>
      <c r="AQ15">
        <v>100.2</v>
      </c>
    </row>
    <row r="16" spans="1:43" x14ac:dyDescent="0.2">
      <c r="C16" s="53"/>
      <c r="D16" s="74"/>
      <c r="E16" s="77"/>
      <c r="F16" s="80"/>
      <c r="G16" s="80"/>
      <c r="H16" s="80"/>
      <c r="I16" s="80"/>
      <c r="J16" s="80"/>
      <c r="K16" s="82"/>
      <c r="L16" s="83"/>
      <c r="M16" s="83"/>
      <c r="N16" s="84"/>
      <c r="O16" s="54"/>
      <c r="P16" s="54"/>
      <c r="Q16" s="81"/>
      <c r="R16" s="53"/>
      <c r="S16" s="54"/>
      <c r="T16" s="54"/>
      <c r="U16" s="77"/>
      <c r="V16" s="77"/>
      <c r="W16" s="77"/>
      <c r="AQ16">
        <v>2181.5</v>
      </c>
    </row>
    <row r="17" spans="3:43" x14ac:dyDescent="0.2">
      <c r="C17" s="53"/>
      <c r="D17" s="85"/>
      <c r="E17" s="84"/>
      <c r="F17" s="86"/>
      <c r="G17" s="86"/>
      <c r="H17" s="86"/>
      <c r="I17" s="86"/>
      <c r="J17" s="86"/>
      <c r="K17" s="82"/>
      <c r="L17" s="83"/>
      <c r="M17" s="83"/>
      <c r="N17" s="84"/>
      <c r="O17" s="54"/>
      <c r="P17" s="54"/>
      <c r="Q17" s="81"/>
      <c r="R17" s="53"/>
      <c r="S17" s="54"/>
      <c r="T17" s="54"/>
      <c r="U17" s="77"/>
      <c r="V17" s="77"/>
      <c r="W17" s="77"/>
      <c r="AQ17">
        <v>2650.7</v>
      </c>
    </row>
    <row r="18" spans="3:43" ht="25.5" x14ac:dyDescent="0.2">
      <c r="C18" s="53"/>
      <c r="D18" s="87" t="s">
        <v>50</v>
      </c>
      <c r="E18" s="84">
        <v>52</v>
      </c>
      <c r="F18" s="86">
        <v>56108</v>
      </c>
      <c r="G18" s="86">
        <v>70224</v>
      </c>
      <c r="H18" s="86">
        <v>75410</v>
      </c>
      <c r="I18" s="86">
        <v>77440</v>
      </c>
      <c r="J18" s="86">
        <v>12470</v>
      </c>
      <c r="K18" s="86">
        <v>14865</v>
      </c>
      <c r="L18" s="86">
        <v>16964</v>
      </c>
      <c r="M18" s="86">
        <v>10663</v>
      </c>
      <c r="N18" s="84">
        <f>24376/1.2</f>
        <v>20313.333333333336</v>
      </c>
      <c r="O18" s="84">
        <v>4982</v>
      </c>
      <c r="P18" s="84">
        <v>11515</v>
      </c>
      <c r="Q18" s="84">
        <v>14120</v>
      </c>
      <c r="R18" s="77">
        <v>11209</v>
      </c>
      <c r="S18" s="84">
        <v>24869</v>
      </c>
      <c r="T18" s="84">
        <f>51973/1.2</f>
        <v>43310.833333333336</v>
      </c>
      <c r="U18" s="77">
        <f>47914/1.2</f>
        <v>39928.333333333336</v>
      </c>
      <c r="V18" s="77">
        <v>13819</v>
      </c>
      <c r="W18" s="77"/>
      <c r="AQ18">
        <v>2971.2</v>
      </c>
    </row>
    <row r="19" spans="3:43" x14ac:dyDescent="0.2">
      <c r="C19" s="53"/>
      <c r="D19" s="85"/>
      <c r="E19" s="84">
        <v>4994</v>
      </c>
      <c r="F19" s="86"/>
      <c r="G19" s="86"/>
      <c r="H19" s="86"/>
      <c r="I19" s="86"/>
      <c r="J19" s="86"/>
      <c r="K19" s="82"/>
      <c r="L19" s="83"/>
      <c r="M19" s="82"/>
      <c r="N19" s="84"/>
      <c r="O19" s="54"/>
      <c r="P19" s="54"/>
      <c r="Q19" s="81"/>
      <c r="R19" s="53"/>
      <c r="S19" s="54"/>
      <c r="T19" s="54"/>
      <c r="U19" s="77"/>
      <c r="V19" s="77"/>
      <c r="W19" s="77"/>
      <c r="AQ19">
        <v>243.6</v>
      </c>
    </row>
    <row r="20" spans="3:43" ht="15" x14ac:dyDescent="0.2">
      <c r="C20" s="53"/>
      <c r="D20" s="85" t="s">
        <v>2</v>
      </c>
      <c r="E20" s="84">
        <v>1287</v>
      </c>
      <c r="F20" s="86">
        <v>625</v>
      </c>
      <c r="G20" s="86">
        <v>525</v>
      </c>
      <c r="H20" s="86">
        <v>4456</v>
      </c>
      <c r="I20" s="86">
        <v>523</v>
      </c>
      <c r="J20" s="86">
        <v>8023</v>
      </c>
      <c r="K20" s="86">
        <f>4/1.2</f>
        <v>3.3333333333333335</v>
      </c>
      <c r="L20" s="86">
        <f>3/1.2</f>
        <v>2.5</v>
      </c>
      <c r="M20" s="86">
        <f>4/1.2</f>
        <v>3.3333333333333335</v>
      </c>
      <c r="N20" s="84">
        <v>0</v>
      </c>
      <c r="O20" s="54">
        <v>1417</v>
      </c>
      <c r="P20" s="54">
        <v>1001</v>
      </c>
      <c r="Q20" s="81">
        <v>488</v>
      </c>
      <c r="R20" s="77">
        <v>4950</v>
      </c>
      <c r="S20" s="54">
        <v>4059</v>
      </c>
      <c r="T20" s="54">
        <v>4059</v>
      </c>
      <c r="U20" s="77">
        <f>4871/1.2</f>
        <v>4059.166666666667</v>
      </c>
      <c r="V20" s="77">
        <v>4871</v>
      </c>
      <c r="W20" s="77"/>
      <c r="X20" s="26"/>
      <c r="Y20">
        <v>2007</v>
      </c>
      <c r="Z20">
        <v>2008</v>
      </c>
      <c r="AQ20">
        <v>70.099999999999994</v>
      </c>
    </row>
    <row r="21" spans="3:43" ht="15" x14ac:dyDescent="0.2">
      <c r="C21" s="53"/>
      <c r="D21" s="85"/>
      <c r="E21" s="84"/>
      <c r="F21" s="86"/>
      <c r="G21" s="86"/>
      <c r="H21" s="86"/>
      <c r="I21" s="86"/>
      <c r="J21" s="86"/>
      <c r="K21" s="82"/>
      <c r="L21" s="83"/>
      <c r="M21" s="83"/>
      <c r="N21" s="84"/>
      <c r="O21" s="54"/>
      <c r="P21" s="54"/>
      <c r="Q21" s="81"/>
      <c r="R21" s="53"/>
      <c r="S21" s="54"/>
      <c r="T21" s="54"/>
      <c r="U21" s="77"/>
      <c r="V21" s="77"/>
      <c r="W21" s="77"/>
      <c r="Y21" s="26" t="s">
        <v>72</v>
      </c>
      <c r="Z21" s="24">
        <v>1205043</v>
      </c>
      <c r="AA21" s="47">
        <f>O23</f>
        <v>1315964</v>
      </c>
      <c r="AQ21">
        <v>2657.5</v>
      </c>
    </row>
    <row r="22" spans="3:43" ht="15" x14ac:dyDescent="0.2">
      <c r="C22" s="53"/>
      <c r="D22" s="85" t="s">
        <v>98</v>
      </c>
      <c r="E22" s="84"/>
      <c r="F22" s="86"/>
      <c r="G22" s="86"/>
      <c r="H22" s="86"/>
      <c r="I22" s="86"/>
      <c r="J22" s="86"/>
      <c r="K22" s="82"/>
      <c r="L22" s="83"/>
      <c r="M22" s="83"/>
      <c r="N22" s="84"/>
      <c r="O22" s="54"/>
      <c r="P22" s="54"/>
      <c r="Q22" s="81"/>
      <c r="R22" s="53"/>
      <c r="S22" s="54"/>
      <c r="T22" s="54"/>
      <c r="U22" s="77"/>
      <c r="V22" s="77"/>
      <c r="W22" s="77"/>
      <c r="Y22" s="26" t="s">
        <v>68</v>
      </c>
      <c r="Z22" s="9">
        <v>51488.333333333336</v>
      </c>
      <c r="AA22" s="10">
        <f>O26</f>
        <v>52657</v>
      </c>
      <c r="AQ22">
        <v>-320.5</v>
      </c>
    </row>
    <row r="23" spans="3:43" ht="15" x14ac:dyDescent="0.2">
      <c r="C23" s="53"/>
      <c r="D23" s="88" t="s">
        <v>56</v>
      </c>
      <c r="E23" s="84">
        <v>227043</v>
      </c>
      <c r="F23" s="86">
        <v>535194</v>
      </c>
      <c r="G23" s="86">
        <v>679862</v>
      </c>
      <c r="H23" s="86">
        <v>746313</v>
      </c>
      <c r="I23" s="86">
        <v>740326</v>
      </c>
      <c r="J23" s="86">
        <v>709890</v>
      </c>
      <c r="K23" s="86">
        <f>1124414/1.2</f>
        <v>937011.66666666674</v>
      </c>
      <c r="L23" s="86">
        <f>1302077/1.2</f>
        <v>1085064.1666666667</v>
      </c>
      <c r="M23" s="86">
        <f>1105959/1.2</f>
        <v>921632.5</v>
      </c>
      <c r="N23" s="84">
        <f>1336791/1.2</f>
        <v>1113992.5</v>
      </c>
      <c r="O23" s="84">
        <v>1315964</v>
      </c>
      <c r="P23" s="84">
        <v>1394658</v>
      </c>
      <c r="Q23" s="84">
        <v>1509363</v>
      </c>
      <c r="R23" s="77">
        <v>1481673</v>
      </c>
      <c r="S23" s="84">
        <v>1506593</v>
      </c>
      <c r="T23" s="77">
        <f>1918567/1.2</f>
        <v>1598805.8333333335</v>
      </c>
      <c r="U23" s="77">
        <f>2019863/1.2</f>
        <v>1683219.1666666667</v>
      </c>
      <c r="V23" s="77">
        <v>1869027</v>
      </c>
      <c r="W23" s="77"/>
      <c r="Y23" s="26" t="s">
        <v>67</v>
      </c>
      <c r="Z23" s="9">
        <v>-9104.1666666666679</v>
      </c>
      <c r="AA23" s="47">
        <f>O27</f>
        <v>5333</v>
      </c>
    </row>
    <row r="24" spans="3:43" ht="15" x14ac:dyDescent="0.2">
      <c r="C24" s="53"/>
      <c r="D24" s="71" t="s">
        <v>107</v>
      </c>
      <c r="E24" s="84">
        <v>281</v>
      </c>
      <c r="F24" s="86">
        <v>27</v>
      </c>
      <c r="G24" s="86">
        <v>139</v>
      </c>
      <c r="H24" s="86">
        <v>5</v>
      </c>
      <c r="I24" s="86">
        <v>9214</v>
      </c>
      <c r="J24" s="86">
        <v>9449</v>
      </c>
      <c r="K24" s="86">
        <f>17158/1.2</f>
        <v>14298.333333333334</v>
      </c>
      <c r="L24" s="86">
        <f>26575/1.2</f>
        <v>22145.833333333336</v>
      </c>
      <c r="M24" s="86">
        <f>31956/1.2</f>
        <v>26630</v>
      </c>
      <c r="N24" s="84">
        <f>34908/1.2</f>
        <v>29090</v>
      </c>
      <c r="O24" s="84">
        <v>33533</v>
      </c>
      <c r="P24" s="84">
        <v>36006</v>
      </c>
      <c r="Q24" s="84">
        <v>31743</v>
      </c>
      <c r="R24" s="77">
        <v>19883</v>
      </c>
      <c r="S24" s="84">
        <v>21809</v>
      </c>
      <c r="T24" s="84">
        <f>24271/1.2</f>
        <v>20225.833333333336</v>
      </c>
      <c r="U24" s="77">
        <f>21254/1.2</f>
        <v>17711.666666666668</v>
      </c>
      <c r="V24" s="77">
        <v>11399</v>
      </c>
      <c r="W24" s="77"/>
      <c r="Y24" s="26" t="s">
        <v>69</v>
      </c>
      <c r="Z24" s="9">
        <v>28009.166666666668</v>
      </c>
      <c r="AA24" s="10">
        <f>O15</f>
        <v>22928</v>
      </c>
      <c r="AQ24">
        <v>4932.3999999999996</v>
      </c>
    </row>
    <row r="25" spans="3:43" ht="15" x14ac:dyDescent="0.2">
      <c r="C25" s="53"/>
      <c r="D25" s="85"/>
      <c r="E25" s="84"/>
      <c r="F25" s="86"/>
      <c r="G25" s="86"/>
      <c r="H25" s="83"/>
      <c r="I25" s="86"/>
      <c r="J25" s="86"/>
      <c r="K25" s="82"/>
      <c r="L25" s="83"/>
      <c r="M25" s="83"/>
      <c r="N25" s="84"/>
      <c r="O25" s="54"/>
      <c r="P25" s="54"/>
      <c r="Q25" s="81"/>
      <c r="R25" s="53"/>
      <c r="S25" s="54"/>
      <c r="T25" s="54"/>
      <c r="U25" s="77"/>
      <c r="V25" s="77"/>
      <c r="W25" s="77"/>
      <c r="Y25" s="26" t="str">
        <f>D18</f>
        <v>Balances with Banks &amp; Branches</v>
      </c>
      <c r="Z25" s="9">
        <v>6862.5</v>
      </c>
      <c r="AA25" s="47">
        <f>O18</f>
        <v>4982</v>
      </c>
      <c r="AQ25">
        <v>1209.0999999999999</v>
      </c>
    </row>
    <row r="26" spans="3:43" ht="15" x14ac:dyDescent="0.2">
      <c r="C26" s="53"/>
      <c r="D26" s="74" t="s">
        <v>68</v>
      </c>
      <c r="E26" s="84">
        <v>16428</v>
      </c>
      <c r="F26" s="86">
        <v>26574</v>
      </c>
      <c r="G26" s="86">
        <v>19861</v>
      </c>
      <c r="H26" s="86">
        <v>20808</v>
      </c>
      <c r="I26" s="86">
        <v>23033</v>
      </c>
      <c r="J26" s="86">
        <v>33026</v>
      </c>
      <c r="K26" s="86">
        <v>29410</v>
      </c>
      <c r="L26" s="86">
        <f>33049/1.2</f>
        <v>27540.833333333336</v>
      </c>
      <c r="M26" s="86">
        <f>53670/1.2</f>
        <v>44725</v>
      </c>
      <c r="N26" s="84">
        <f>56267/1.2</f>
        <v>46889.166666666672</v>
      </c>
      <c r="O26" s="54">
        <v>52657</v>
      </c>
      <c r="P26" s="54">
        <v>60398</v>
      </c>
      <c r="Q26" s="81">
        <v>54132</v>
      </c>
      <c r="R26" s="77">
        <v>53518</v>
      </c>
      <c r="S26" s="54">
        <v>45963</v>
      </c>
      <c r="T26" s="54">
        <f>65926/1.2</f>
        <v>54938.333333333336</v>
      </c>
      <c r="U26" s="77">
        <f>53889/1.2</f>
        <v>44907.5</v>
      </c>
      <c r="V26" s="77">
        <v>44786</v>
      </c>
      <c r="W26" s="77"/>
      <c r="Y26" s="26" t="str">
        <f>D20</f>
        <v>Investments</v>
      </c>
      <c r="Z26" s="41" t="e">
        <f>#REF!</f>
        <v>#REF!</v>
      </c>
      <c r="AA26" s="10">
        <f>O20</f>
        <v>1417</v>
      </c>
      <c r="AQ26">
        <v>95.5</v>
      </c>
    </row>
    <row r="27" spans="3:43" x14ac:dyDescent="0.2">
      <c r="C27" s="53"/>
      <c r="D27" s="74" t="s">
        <v>67</v>
      </c>
      <c r="E27" s="84">
        <v>11122</v>
      </c>
      <c r="F27" s="86">
        <v>10741</v>
      </c>
      <c r="G27" s="86">
        <v>67657</v>
      </c>
      <c r="H27" s="86">
        <v>24272</v>
      </c>
      <c r="I27" s="86">
        <v>20710</v>
      </c>
      <c r="J27" s="86">
        <v>20312</v>
      </c>
      <c r="K27" s="86">
        <v>-10980</v>
      </c>
      <c r="L27" s="86">
        <f>42993/1.2</f>
        <v>35827.5</v>
      </c>
      <c r="M27" s="86">
        <v>22888</v>
      </c>
      <c r="N27" s="84">
        <f>31596/1.2</f>
        <v>26330</v>
      </c>
      <c r="O27" s="84">
        <v>5333</v>
      </c>
      <c r="P27" s="84">
        <v>28326</v>
      </c>
      <c r="Q27" s="84">
        <v>28989</v>
      </c>
      <c r="R27" s="77">
        <v>12276</v>
      </c>
      <c r="S27" s="84">
        <v>17653</v>
      </c>
      <c r="T27" s="84">
        <f>27952/1.2</f>
        <v>23293.333333333336</v>
      </c>
      <c r="U27" s="77">
        <f>158097/1.2</f>
        <v>131747.5</v>
      </c>
      <c r="V27" s="77">
        <v>50569</v>
      </c>
      <c r="W27" s="77"/>
      <c r="AQ27">
        <v>1113.5999999999999</v>
      </c>
    </row>
    <row r="28" spans="3:43" hidden="1" x14ac:dyDescent="0.2">
      <c r="C28" s="53"/>
      <c r="D28" s="85" t="s">
        <v>3</v>
      </c>
      <c r="E28" s="84">
        <v>32135</v>
      </c>
      <c r="F28" s="86">
        <v>17154</v>
      </c>
      <c r="G28" s="86">
        <v>21101</v>
      </c>
      <c r="H28" s="86">
        <v>23119</v>
      </c>
      <c r="I28" s="86">
        <v>83726</v>
      </c>
      <c r="J28" s="83"/>
      <c r="K28" s="82"/>
      <c r="L28" s="82"/>
      <c r="M28" s="82"/>
      <c r="N28" s="84"/>
      <c r="O28" s="84">
        <v>0</v>
      </c>
      <c r="P28" s="54"/>
      <c r="Q28" s="54"/>
      <c r="R28" s="81"/>
      <c r="S28" s="53"/>
      <c r="T28" s="53"/>
      <c r="U28" s="53"/>
      <c r="V28" s="53"/>
      <c r="W28" s="53"/>
      <c r="AQ28">
        <v>460.6</v>
      </c>
    </row>
    <row r="29" spans="3:43" x14ac:dyDescent="0.2">
      <c r="C29" s="50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AQ29">
        <v>653</v>
      </c>
    </row>
    <row r="30" spans="3:43" ht="15" x14ac:dyDescent="0.2">
      <c r="C30" s="5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8"/>
      <c r="V30" s="98"/>
      <c r="AQ30">
        <v>3723.3</v>
      </c>
    </row>
    <row r="31" spans="3:43" ht="15" x14ac:dyDescent="0.2">
      <c r="C31" s="50"/>
      <c r="D31" s="59" t="s">
        <v>110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8"/>
      <c r="V31" s="98"/>
      <c r="AQ31">
        <v>3382</v>
      </c>
    </row>
    <row r="32" spans="3:43" x14ac:dyDescent="0.2">
      <c r="C32" s="7"/>
      <c r="E32" s="21"/>
      <c r="F32" s="21"/>
      <c r="G32" s="21"/>
      <c r="H32" s="21"/>
      <c r="I32" s="21"/>
      <c r="J32" s="21"/>
      <c r="K32" s="8"/>
      <c r="L32" s="8"/>
      <c r="M32" s="8"/>
      <c r="N32" s="8"/>
      <c r="O32" s="8"/>
      <c r="P32" s="8"/>
      <c r="Q32" s="8"/>
      <c r="R32" s="8"/>
      <c r="S32" s="8"/>
      <c r="T32" s="74"/>
    </row>
    <row r="33" spans="3:25" x14ac:dyDescent="0.2">
      <c r="C33" s="7"/>
      <c r="E33" s="21"/>
      <c r="F33" s="21"/>
      <c r="G33" s="21"/>
      <c r="H33" s="21"/>
      <c r="I33" s="21"/>
      <c r="J33" s="21"/>
      <c r="K33" s="8"/>
      <c r="L33" s="8"/>
      <c r="M33" s="40"/>
      <c r="N33" s="40"/>
      <c r="O33" s="40"/>
      <c r="P33" s="40"/>
      <c r="Q33" s="40"/>
      <c r="R33" s="40"/>
      <c r="S33" s="40" t="s">
        <v>26</v>
      </c>
      <c r="T33" s="40"/>
      <c r="V33" s="19"/>
      <c r="W33" s="16"/>
    </row>
    <row r="34" spans="3:25" x14ac:dyDescent="0.2">
      <c r="C34" s="7"/>
      <c r="D34" s="7"/>
      <c r="E34" s="7"/>
      <c r="V34" s="5"/>
      <c r="W34" s="15"/>
      <c r="X34" s="9"/>
      <c r="Y34" s="15"/>
    </row>
    <row r="35" spans="3:25" x14ac:dyDescent="0.2">
      <c r="C35" s="7"/>
      <c r="D35" s="7"/>
      <c r="E35" s="7"/>
      <c r="V35" s="5"/>
      <c r="W35" s="15"/>
      <c r="X35" s="9"/>
      <c r="Y35" s="15"/>
    </row>
    <row r="36" spans="3:25" ht="14.25" x14ac:dyDescent="0.2">
      <c r="C36" s="2"/>
    </row>
    <row r="37" spans="3:25" ht="14.25" x14ac:dyDescent="0.2">
      <c r="C37" s="2"/>
    </row>
    <row r="38" spans="3:25" ht="14.25" x14ac:dyDescent="0.2">
      <c r="C38" s="2"/>
      <c r="D38" s="13"/>
    </row>
    <row r="39" spans="3:25" ht="14.25" x14ac:dyDescent="0.2">
      <c r="C39" s="2"/>
      <c r="D39" s="13"/>
    </row>
    <row r="40" spans="3:25" ht="14.25" x14ac:dyDescent="0.2">
      <c r="C40" s="2"/>
      <c r="D40" s="13"/>
    </row>
    <row r="41" spans="3:25" ht="14.25" x14ac:dyDescent="0.2">
      <c r="C41" s="2"/>
      <c r="D41" s="13"/>
    </row>
    <row r="42" spans="3:25" ht="14.25" x14ac:dyDescent="0.2">
      <c r="C42" s="2"/>
      <c r="D42" s="13"/>
    </row>
    <row r="43" spans="3:25" ht="14.25" x14ac:dyDescent="0.2">
      <c r="C43" s="2"/>
      <c r="D43" s="13"/>
    </row>
    <row r="44" spans="3:25" ht="14.25" x14ac:dyDescent="0.2">
      <c r="C44" s="2"/>
      <c r="D44" s="13"/>
    </row>
    <row r="45" spans="3:25" ht="14.25" x14ac:dyDescent="0.2">
      <c r="C45" s="2"/>
      <c r="D45" s="13"/>
    </row>
    <row r="46" spans="3:25" ht="14.25" x14ac:dyDescent="0.2">
      <c r="C46" s="2"/>
      <c r="D46" s="13"/>
    </row>
    <row r="47" spans="3:25" ht="14.25" x14ac:dyDescent="0.2">
      <c r="C47" s="2"/>
      <c r="D47" s="13"/>
    </row>
    <row r="48" spans="3:25" ht="14.25" x14ac:dyDescent="0.2">
      <c r="C48" s="2"/>
      <c r="D48" s="13"/>
    </row>
    <row r="49" spans="3:42" ht="14.25" x14ac:dyDescent="0.2">
      <c r="C49" s="2"/>
      <c r="D49" s="13"/>
    </row>
    <row r="50" spans="3:42" ht="14.25" x14ac:dyDescent="0.2">
      <c r="C50" s="2"/>
      <c r="D50" s="13"/>
    </row>
    <row r="52" spans="3:42" ht="14.25" x14ac:dyDescent="0.2">
      <c r="C52" s="2"/>
    </row>
    <row r="53" spans="3:42" x14ac:dyDescent="0.2">
      <c r="C53" s="3"/>
      <c r="D53" s="3"/>
      <c r="E53" s="3"/>
      <c r="F53" s="3"/>
      <c r="G53" s="3"/>
      <c r="H53" s="3"/>
      <c r="I53" s="3"/>
      <c r="J53" s="3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3:42" s="22" customFormat="1" ht="9" customHeight="1" x14ac:dyDescent="0.2">
      <c r="C54" s="23"/>
      <c r="D54" s="23"/>
      <c r="E54" s="23"/>
      <c r="F54" s="23"/>
      <c r="G54" s="23"/>
      <c r="H54" s="23"/>
      <c r="I54" s="23"/>
      <c r="J54" s="23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3:42" x14ac:dyDescent="0.2">
      <c r="C55" s="428">
        <f ca="1">'.01'!B68:Y68+1</f>
        <v>1</v>
      </c>
      <c r="D55" s="428"/>
      <c r="E55" s="428"/>
      <c r="F55" s="428"/>
      <c r="G55" s="428"/>
      <c r="H55" s="428"/>
      <c r="I55" s="428"/>
      <c r="J55" s="428"/>
      <c r="K55" s="428"/>
      <c r="L55" s="428"/>
      <c r="M55" s="428"/>
      <c r="N55" s="428"/>
      <c r="O55" s="428"/>
      <c r="P55" s="428"/>
      <c r="Q55" s="428"/>
      <c r="R55" s="428"/>
      <c r="S55" s="428"/>
      <c r="T55" s="4"/>
    </row>
  </sheetData>
  <mergeCells count="2">
    <mergeCell ref="L4:S4"/>
    <mergeCell ref="C55:S55"/>
  </mergeCells>
  <phoneticPr fontId="7" type="noConversion"/>
  <printOptions horizontalCentered="1"/>
  <pageMargins left="1" right="1" top="1" bottom="1" header="0.5" footer="0.24"/>
  <pageSetup scale="6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57150</xdr:rowOff>
              </from>
              <to>
                <xdr:col>2</xdr:col>
                <xdr:colOff>190500</xdr:colOff>
                <xdr:row>1</xdr:row>
                <xdr:rowOff>28575</xdr:rowOff>
              </to>
            </anchor>
          </objectPr>
        </oleObject>
      </mc:Choice>
      <mc:Fallback>
        <oleObject progId="MSPhotoEd.3" shapeId="102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4:AS79"/>
  <sheetViews>
    <sheetView view="pageBreakPreview" topLeftCell="A5" zoomScaleNormal="100" zoomScaleSheetLayoutView="100" workbookViewId="0">
      <selection activeCell="C8" sqref="C8:O9"/>
    </sheetView>
  </sheetViews>
  <sheetFormatPr defaultRowHeight="12.75" x14ac:dyDescent="0.2"/>
  <cols>
    <col min="1" max="1" width="3.85546875" customWidth="1"/>
    <col min="2" max="2" width="7.7109375" customWidth="1"/>
    <col min="3" max="3" width="20.28515625" customWidth="1"/>
    <col min="4" max="6" width="8.42578125" hidden="1" customWidth="1"/>
    <col min="7" max="8" width="8.5703125" hidden="1" customWidth="1"/>
    <col min="9" max="9" width="10.140625" hidden="1" customWidth="1"/>
    <col min="10" max="13" width="13.28515625" hidden="1" customWidth="1"/>
    <col min="14" max="15" width="13.28515625" customWidth="1"/>
    <col min="16" max="16" width="11.140625" customWidth="1"/>
    <col min="17" max="17" width="11.85546875" customWidth="1"/>
    <col min="18" max="18" width="10.28515625" bestFit="1" customWidth="1"/>
    <col min="19" max="19" width="10.42578125" bestFit="1" customWidth="1"/>
    <col min="21" max="21" width="11.28515625" bestFit="1" customWidth="1"/>
    <col min="22" max="22" width="9.5703125" bestFit="1" customWidth="1"/>
    <col min="27" max="27" width="10.7109375" customWidth="1"/>
  </cols>
  <sheetData>
    <row r="4" spans="2:45" ht="15" x14ac:dyDescent="0.25">
      <c r="H4" s="427" t="s">
        <v>191</v>
      </c>
      <c r="I4" s="427"/>
      <c r="J4" s="427"/>
      <c r="K4" s="427"/>
      <c r="L4" s="427"/>
      <c r="M4" s="427"/>
      <c r="N4" s="427"/>
      <c r="O4" s="427"/>
      <c r="P4" s="39"/>
    </row>
    <row r="5" spans="2:45" s="22" customFormat="1" ht="9" customHeight="1" x14ac:dyDescent="0.2"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8" spans="2:45" ht="15.75" customHeight="1" x14ac:dyDescent="0.25">
      <c r="B8" s="52">
        <v>12.04</v>
      </c>
      <c r="C8" s="429" t="s">
        <v>192</v>
      </c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124"/>
      <c r="Q8" s="53"/>
      <c r="R8" s="53"/>
    </row>
    <row r="9" spans="2:45" ht="15.75" x14ac:dyDescent="0.25">
      <c r="B9" s="52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124"/>
      <c r="Q9" s="53"/>
      <c r="R9" s="53"/>
    </row>
    <row r="10" spans="2:45" x14ac:dyDescent="0.2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2:45" x14ac:dyDescent="0.2">
      <c r="B11" s="53"/>
      <c r="D11" s="432" t="s">
        <v>134</v>
      </c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</row>
    <row r="12" spans="2:45" x14ac:dyDescent="0.2">
      <c r="B12" s="50"/>
      <c r="C12" s="61"/>
      <c r="D12" s="62">
        <v>1999</v>
      </c>
      <c r="E12" s="63">
        <v>2000</v>
      </c>
      <c r="F12" s="64">
        <v>2001</v>
      </c>
      <c r="G12" s="63" t="s">
        <v>49</v>
      </c>
      <c r="H12" s="64">
        <v>2003</v>
      </c>
      <c r="I12" s="64">
        <v>2004</v>
      </c>
      <c r="J12" s="64">
        <v>2005</v>
      </c>
      <c r="K12" s="64">
        <v>2006</v>
      </c>
      <c r="L12" s="64">
        <v>2009</v>
      </c>
      <c r="M12" s="64">
        <v>2010</v>
      </c>
      <c r="N12" s="65">
        <v>2011</v>
      </c>
      <c r="O12" s="64">
        <v>2012</v>
      </c>
      <c r="P12" s="64">
        <v>2013</v>
      </c>
      <c r="Q12" s="64">
        <v>2014</v>
      </c>
      <c r="R12" s="64">
        <v>2015</v>
      </c>
      <c r="S12" s="64">
        <v>2016</v>
      </c>
    </row>
    <row r="13" spans="2:45" x14ac:dyDescent="0.2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AS13">
        <v>4932.3999999999996</v>
      </c>
    </row>
    <row r="14" spans="2:45" x14ac:dyDescent="0.2">
      <c r="B14" s="53"/>
      <c r="C14" s="58" t="s">
        <v>5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AS14">
        <v>2281.6999999999998</v>
      </c>
    </row>
    <row r="15" spans="2:45" x14ac:dyDescent="0.2">
      <c r="B15" s="53"/>
      <c r="C15" s="53" t="s">
        <v>79</v>
      </c>
      <c r="D15" s="54">
        <v>124132</v>
      </c>
      <c r="E15" s="54">
        <v>132514</v>
      </c>
      <c r="F15" s="54">
        <v>152285</v>
      </c>
      <c r="G15" s="77">
        <f>(188460+3547)/1.2</f>
        <v>160005.83333333334</v>
      </c>
      <c r="H15" s="77">
        <f>349364+2947</f>
        <v>352311</v>
      </c>
      <c r="I15" s="77">
        <f>628122+20354</f>
        <v>648476</v>
      </c>
      <c r="J15" s="77">
        <f>305588+10163</f>
        <v>315751</v>
      </c>
      <c r="K15" s="54">
        <f>319844/1.2</f>
        <v>266536.66666666669</v>
      </c>
      <c r="L15" s="54">
        <v>254508</v>
      </c>
      <c r="M15" s="54">
        <v>298898</v>
      </c>
      <c r="N15" s="54">
        <v>237707</v>
      </c>
      <c r="O15" s="54">
        <v>337013</v>
      </c>
      <c r="P15" s="54">
        <v>403082</v>
      </c>
      <c r="Q15" s="54">
        <f ca="1">'[1]CI$th'!$AM$46</f>
        <v>460587.5</v>
      </c>
      <c r="R15" s="54">
        <v>606312</v>
      </c>
      <c r="S15" s="54">
        <f>'.03b'!E56</f>
        <v>595925</v>
      </c>
      <c r="U15" s="5">
        <v>257670.83333333334</v>
      </c>
      <c r="AS15">
        <v>100.2</v>
      </c>
    </row>
    <row r="16" spans="2:45" x14ac:dyDescent="0.2">
      <c r="B16" s="53"/>
      <c r="C16" s="53" t="s">
        <v>6</v>
      </c>
      <c r="D16" s="54">
        <v>91613</v>
      </c>
      <c r="E16" s="54">
        <v>101608</v>
      </c>
      <c r="F16" s="54">
        <v>99826</v>
      </c>
      <c r="G16" s="77">
        <v>120440</v>
      </c>
      <c r="H16" s="77">
        <f>119618+4553</f>
        <v>124171</v>
      </c>
      <c r="I16" s="77">
        <f>224643+7270</f>
        <v>231913</v>
      </c>
      <c r="J16" s="77">
        <f>206715+15631</f>
        <v>222346</v>
      </c>
      <c r="K16" s="54">
        <f>246052/1.2</f>
        <v>205043.33333333334</v>
      </c>
      <c r="L16" s="54">
        <v>230244</v>
      </c>
      <c r="M16" s="54">
        <v>241088</v>
      </c>
      <c r="N16" s="54">
        <v>263707</v>
      </c>
      <c r="O16" s="54">
        <v>323232</v>
      </c>
      <c r="P16" s="54">
        <v>268218</v>
      </c>
      <c r="Q16" s="54">
        <f ca="1">'[1]CI$th'!$AM$49</f>
        <v>276093.33333333337</v>
      </c>
      <c r="R16" s="54">
        <v>364820</v>
      </c>
      <c r="S16" s="54">
        <f>'.03b'!F56</f>
        <v>323910.83333333337</v>
      </c>
      <c r="U16">
        <v>211685</v>
      </c>
      <c r="AS16">
        <v>2181.5</v>
      </c>
    </row>
    <row r="17" spans="2:45" x14ac:dyDescent="0.2">
      <c r="B17" s="53"/>
      <c r="C17" s="53" t="s">
        <v>7</v>
      </c>
      <c r="D17" s="54">
        <v>289879</v>
      </c>
      <c r="E17" s="54">
        <v>323961</v>
      </c>
      <c r="F17" s="54">
        <v>277661</v>
      </c>
      <c r="G17" s="77">
        <v>254401</v>
      </c>
      <c r="H17" s="77">
        <f>253114+6293</f>
        <v>259407</v>
      </c>
      <c r="I17" s="77">
        <f>267285+6399</f>
        <v>273684</v>
      </c>
      <c r="J17" s="77">
        <f>333400+10240</f>
        <v>343640</v>
      </c>
      <c r="K17" s="54">
        <f>511911/1.2</f>
        <v>426592.5</v>
      </c>
      <c r="L17" s="54">
        <v>389888</v>
      </c>
      <c r="M17" s="54">
        <v>355961</v>
      </c>
      <c r="N17" s="54">
        <v>344263</v>
      </c>
      <c r="O17" s="54">
        <v>363198</v>
      </c>
      <c r="P17" s="54">
        <v>339166</v>
      </c>
      <c r="Q17" s="54">
        <f ca="1">'[1]CI$th'!$AM$50</f>
        <v>376867.5</v>
      </c>
      <c r="R17" s="54">
        <v>573057</v>
      </c>
      <c r="S17" s="54">
        <f>'.03b'!G56</f>
        <v>498855</v>
      </c>
      <c r="U17">
        <v>485806.66666666669</v>
      </c>
      <c r="AS17">
        <v>2650.7</v>
      </c>
    </row>
    <row r="18" spans="2:45" x14ac:dyDescent="0.2">
      <c r="B18" s="53"/>
      <c r="C18" s="58" t="s">
        <v>107</v>
      </c>
      <c r="D18" s="54"/>
      <c r="E18" s="54"/>
      <c r="F18" s="54"/>
      <c r="G18" s="77"/>
      <c r="H18" s="77"/>
      <c r="I18" s="77"/>
      <c r="J18" s="77"/>
      <c r="K18" s="54"/>
      <c r="L18" s="54"/>
      <c r="M18" s="54">
        <v>42045</v>
      </c>
      <c r="N18" s="54">
        <v>36763</v>
      </c>
      <c r="O18" s="54">
        <v>35893</v>
      </c>
      <c r="P18" s="54">
        <v>36980</v>
      </c>
      <c r="Q18" s="54">
        <v>33117</v>
      </c>
      <c r="R18" s="54">
        <v>52255</v>
      </c>
      <c r="S18" s="54"/>
    </row>
    <row r="19" spans="2:45" x14ac:dyDescent="0.2">
      <c r="B19" s="53"/>
      <c r="C19" s="53"/>
      <c r="D19" s="53"/>
      <c r="E19" s="54"/>
      <c r="F19" s="53"/>
      <c r="G19" s="74"/>
      <c r="H19" s="74"/>
      <c r="I19" s="74"/>
      <c r="J19" s="74"/>
      <c r="K19" s="54"/>
      <c r="L19" s="54"/>
      <c r="M19" s="54"/>
      <c r="N19" s="53"/>
      <c r="O19" s="54"/>
      <c r="P19" s="54"/>
      <c r="Q19" s="54"/>
      <c r="R19" s="54"/>
      <c r="S19" s="54"/>
      <c r="AS19">
        <v>2971.2</v>
      </c>
    </row>
    <row r="20" spans="2:45" x14ac:dyDescent="0.2">
      <c r="B20" s="53"/>
      <c r="C20" s="72" t="s">
        <v>8</v>
      </c>
      <c r="D20" s="70">
        <f t="shared" ref="D20:I20" si="0">SUM(D15:D19)</f>
        <v>505624</v>
      </c>
      <c r="E20" s="70">
        <f t="shared" si="0"/>
        <v>558083</v>
      </c>
      <c r="F20" s="70">
        <f t="shared" si="0"/>
        <v>529772</v>
      </c>
      <c r="G20" s="91">
        <f>SUM(G15:G19)</f>
        <v>534846.83333333337</v>
      </c>
      <c r="H20" s="91">
        <f t="shared" si="0"/>
        <v>735889</v>
      </c>
      <c r="I20" s="91">
        <f t="shared" si="0"/>
        <v>1154073</v>
      </c>
      <c r="J20" s="91">
        <f t="shared" ref="J20:O20" si="1">SUM(J15:J19)</f>
        <v>881737</v>
      </c>
      <c r="K20" s="91">
        <f t="shared" si="1"/>
        <v>898172.5</v>
      </c>
      <c r="L20" s="91">
        <f t="shared" si="1"/>
        <v>874640</v>
      </c>
      <c r="M20" s="91">
        <f>SUM(M15:M18)</f>
        <v>937992</v>
      </c>
      <c r="N20" s="91">
        <f t="shared" si="1"/>
        <v>882440</v>
      </c>
      <c r="O20" s="91">
        <f t="shared" si="1"/>
        <v>1059336</v>
      </c>
      <c r="P20" s="91">
        <v>1010464</v>
      </c>
      <c r="Q20" s="91">
        <f ca="1">SUM(Q15:Q17)</f>
        <v>1113548.3333333335</v>
      </c>
      <c r="R20" s="91">
        <f>SUM(R15:R18)</f>
        <v>1596444</v>
      </c>
      <c r="S20" s="91"/>
      <c r="AS20">
        <v>243.6</v>
      </c>
    </row>
    <row r="21" spans="2:45" x14ac:dyDescent="0.2">
      <c r="B21" s="53"/>
      <c r="C21" s="72"/>
      <c r="D21" s="53"/>
      <c r="E21" s="54"/>
      <c r="F21" s="53"/>
      <c r="G21" s="85"/>
      <c r="H21" s="85"/>
      <c r="I21" s="85"/>
      <c r="J21" s="85"/>
      <c r="K21" s="54"/>
      <c r="L21" s="54"/>
      <c r="M21" s="54"/>
      <c r="N21" s="53"/>
      <c r="O21" s="54"/>
      <c r="P21" s="54"/>
      <c r="Q21" s="54"/>
      <c r="R21" s="54"/>
      <c r="S21" s="54"/>
      <c r="AS21">
        <v>70.099999999999994</v>
      </c>
    </row>
    <row r="22" spans="2:45" x14ac:dyDescent="0.2">
      <c r="B22" s="53"/>
      <c r="C22" s="53" t="s">
        <v>9</v>
      </c>
      <c r="D22" s="54">
        <v>31343</v>
      </c>
      <c r="E22" s="54">
        <v>59467</v>
      </c>
      <c r="F22" s="54">
        <v>66694</v>
      </c>
      <c r="G22" s="84">
        <v>139706</v>
      </c>
      <c r="H22" s="84">
        <v>90845</v>
      </c>
      <c r="I22" s="84">
        <v>26563</v>
      </c>
      <c r="J22" s="84">
        <v>166627</v>
      </c>
      <c r="K22" s="54">
        <f>68897/1.2</f>
        <v>57414.166666666672</v>
      </c>
      <c r="L22" s="54">
        <v>186159</v>
      </c>
      <c r="M22" s="54">
        <v>65939</v>
      </c>
      <c r="N22" s="54">
        <v>23463</v>
      </c>
      <c r="O22" s="54">
        <v>-12213</v>
      </c>
      <c r="P22" s="54">
        <f>-95799/1.2</f>
        <v>-79832.5</v>
      </c>
      <c r="Q22" s="54">
        <v>-17410</v>
      </c>
      <c r="R22" s="54">
        <v>-43477</v>
      </c>
      <c r="S22" s="54"/>
      <c r="AS22">
        <v>2657.5</v>
      </c>
    </row>
    <row r="23" spans="2:45" x14ac:dyDescent="0.2">
      <c r="B23" s="53"/>
      <c r="C23" s="53"/>
      <c r="D23" s="54"/>
      <c r="E23" s="54"/>
      <c r="F23" s="54"/>
      <c r="G23" s="84"/>
      <c r="H23" s="84"/>
      <c r="I23" s="84"/>
      <c r="J23" s="84"/>
      <c r="K23" s="54"/>
      <c r="L23" s="54"/>
      <c r="M23" s="54"/>
      <c r="N23" s="54"/>
      <c r="O23" s="54"/>
      <c r="P23" s="54"/>
      <c r="Q23" s="54"/>
      <c r="R23" s="54"/>
      <c r="S23" s="54"/>
      <c r="AS23">
        <v>-320.5</v>
      </c>
    </row>
    <row r="24" spans="2:45" x14ac:dyDescent="0.2">
      <c r="B24" s="53"/>
      <c r="C24" s="74" t="s">
        <v>165</v>
      </c>
      <c r="D24" s="92" t="s">
        <v>51</v>
      </c>
      <c r="E24" s="92" t="s">
        <v>51</v>
      </c>
      <c r="F24" s="92" t="s">
        <v>51</v>
      </c>
      <c r="G24" s="93" t="s">
        <v>51</v>
      </c>
      <c r="H24" s="84">
        <v>85424</v>
      </c>
      <c r="I24" s="84">
        <v>58283</v>
      </c>
      <c r="J24" s="84">
        <v>94637</v>
      </c>
      <c r="K24" s="54">
        <f>241987/1.2</f>
        <v>201655.83333333334</v>
      </c>
      <c r="L24" s="54">
        <v>366934</v>
      </c>
      <c r="M24" s="54">
        <v>520008</v>
      </c>
      <c r="N24" s="54">
        <v>566034</v>
      </c>
      <c r="O24" s="54">
        <v>597106</v>
      </c>
      <c r="P24" s="54">
        <f>770211/1.2</f>
        <v>641842.5</v>
      </c>
      <c r="Q24" s="54">
        <v>621397</v>
      </c>
      <c r="R24" s="54">
        <v>543469</v>
      </c>
      <c r="S24" s="54"/>
    </row>
    <row r="25" spans="2:45" x14ac:dyDescent="0.2">
      <c r="B25" s="53"/>
      <c r="C25" s="53"/>
      <c r="D25" s="53"/>
      <c r="E25" s="54"/>
      <c r="F25" s="54"/>
      <c r="G25" s="84"/>
      <c r="H25" s="85"/>
      <c r="I25" s="85"/>
      <c r="J25" s="85"/>
      <c r="K25" s="54"/>
      <c r="L25" s="54"/>
      <c r="M25" s="54"/>
      <c r="N25" s="53"/>
      <c r="O25" s="54"/>
      <c r="P25" s="54"/>
      <c r="Q25" s="54"/>
      <c r="R25" s="54"/>
      <c r="S25" s="54"/>
      <c r="AS25">
        <v>4932.3999999999996</v>
      </c>
    </row>
    <row r="26" spans="2:45" x14ac:dyDescent="0.2">
      <c r="B26" s="53"/>
      <c r="C26" s="430" t="s">
        <v>180</v>
      </c>
      <c r="D26" s="70">
        <f t="shared" ref="D26:K26" si="2">SUM(D20:D25)</f>
        <v>536967</v>
      </c>
      <c r="E26" s="70">
        <f t="shared" si="2"/>
        <v>617550</v>
      </c>
      <c r="F26" s="70">
        <f t="shared" si="2"/>
        <v>596466</v>
      </c>
      <c r="G26" s="70">
        <f t="shared" si="2"/>
        <v>674552.83333333337</v>
      </c>
      <c r="H26" s="70">
        <f t="shared" si="2"/>
        <v>912158</v>
      </c>
      <c r="I26" s="70">
        <f t="shared" si="2"/>
        <v>1238919</v>
      </c>
      <c r="J26" s="70">
        <f t="shared" si="2"/>
        <v>1143001</v>
      </c>
      <c r="K26" s="70">
        <f t="shared" si="2"/>
        <v>1157242.5</v>
      </c>
      <c r="L26" s="94">
        <f>SUM(L20:L25)</f>
        <v>1427733</v>
      </c>
      <c r="M26" s="94">
        <f>SUM(M20:M25)</f>
        <v>1523939</v>
      </c>
      <c r="N26" s="94">
        <f>SUM(N20:N25)</f>
        <v>1471937</v>
      </c>
      <c r="O26" s="94">
        <f>SUM(O20:O25)</f>
        <v>1644229</v>
      </c>
      <c r="P26" s="94">
        <f>1931347/1.2</f>
        <v>1609455.8333333335</v>
      </c>
      <c r="Q26" s="94">
        <v>1903882</v>
      </c>
      <c r="R26" s="94">
        <v>2096436</v>
      </c>
      <c r="S26" s="94"/>
      <c r="AS26">
        <v>1209.0999999999999</v>
      </c>
    </row>
    <row r="27" spans="2:45" x14ac:dyDescent="0.2">
      <c r="B27" s="53"/>
      <c r="C27" s="431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AS27">
        <v>95.5</v>
      </c>
    </row>
    <row r="28" spans="2:45" ht="14.25" hidden="1" x14ac:dyDescent="0.2">
      <c r="B28" s="53"/>
      <c r="C28" s="53" t="s">
        <v>10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AS28">
        <v>1113.5999999999999</v>
      </c>
    </row>
    <row r="29" spans="2:45" hidden="1" x14ac:dyDescent="0.2">
      <c r="B29" s="53"/>
      <c r="C29" s="53" t="s">
        <v>11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AS29">
        <v>460.6</v>
      </c>
    </row>
    <row r="30" spans="2:45" hidden="1" x14ac:dyDescent="0.2">
      <c r="B30" s="60"/>
      <c r="C30" s="60"/>
      <c r="D30" s="60"/>
      <c r="E30" s="60"/>
      <c r="F30" s="53"/>
      <c r="G30" s="53"/>
      <c r="H30" s="53"/>
      <c r="I30" s="53"/>
      <c r="J30" s="53"/>
      <c r="K30" s="53"/>
      <c r="L30" s="53"/>
      <c r="M30" s="53"/>
      <c r="N30" s="53"/>
      <c r="O30" s="53"/>
      <c r="AS30">
        <v>653</v>
      </c>
    </row>
    <row r="31" spans="2:45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Z31" s="46" t="s">
        <v>76</v>
      </c>
      <c r="AA31" s="16" t="s">
        <v>77</v>
      </c>
      <c r="AS31">
        <v>3723.3</v>
      </c>
    </row>
    <row r="32" spans="2:45" x14ac:dyDescent="0.2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Z32" s="46"/>
      <c r="AA32" s="16"/>
      <c r="AS32">
        <v>3382</v>
      </c>
    </row>
    <row r="33" spans="1:31" x14ac:dyDescent="0.2"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Z33" s="46"/>
      <c r="AA33" s="16"/>
    </row>
    <row r="34" spans="1:31" x14ac:dyDescent="0.2"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Z34" s="30">
        <v>2000</v>
      </c>
      <c r="AA34" s="32">
        <f>E20</f>
        <v>558083</v>
      </c>
    </row>
    <row r="35" spans="1:31" x14ac:dyDescent="0.2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U35" s="16"/>
      <c r="V35" s="16"/>
      <c r="Z35" s="30">
        <v>2001</v>
      </c>
      <c r="AA35" s="32">
        <f>F20</f>
        <v>529772</v>
      </c>
    </row>
    <row r="36" spans="1:31" x14ac:dyDescent="0.2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V36" s="9">
        <f>J15</f>
        <v>315751</v>
      </c>
      <c r="Z36" s="30">
        <v>2002</v>
      </c>
      <c r="AA36" s="32">
        <f>G20</f>
        <v>534846.83333333337</v>
      </c>
    </row>
    <row r="37" spans="1:31" x14ac:dyDescent="0.2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V37" s="9">
        <f>J16</f>
        <v>222346</v>
      </c>
      <c r="Z37" s="30">
        <v>2003</v>
      </c>
      <c r="AA37" s="32">
        <f>H20</f>
        <v>735889</v>
      </c>
    </row>
    <row r="38" spans="1:31" x14ac:dyDescent="0.2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V38" s="9">
        <f>J17</f>
        <v>343640</v>
      </c>
      <c r="Z38" s="30">
        <v>2004</v>
      </c>
      <c r="AA38" s="32">
        <f>I20</f>
        <v>1154073</v>
      </c>
    </row>
    <row r="39" spans="1:31" x14ac:dyDescent="0.2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V39" s="9">
        <f>J24</f>
        <v>94637</v>
      </c>
      <c r="Z39" s="30">
        <v>2005</v>
      </c>
      <c r="AA39" s="32">
        <f>J20</f>
        <v>881737</v>
      </c>
    </row>
    <row r="40" spans="1:31" x14ac:dyDescent="0.2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V40" s="9">
        <f>J22</f>
        <v>166627</v>
      </c>
      <c r="Z40" s="30">
        <v>2006</v>
      </c>
      <c r="AA40" s="32">
        <f>K20</f>
        <v>898172.5</v>
      </c>
    </row>
    <row r="41" spans="1:31" x14ac:dyDescent="0.2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Z41" s="30">
        <v>2007</v>
      </c>
      <c r="AA41" s="32" t="e">
        <f>#REF!</f>
        <v>#REF!</v>
      </c>
    </row>
    <row r="42" spans="1:31" x14ac:dyDescent="0.2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Z42" s="30">
        <v>2008</v>
      </c>
      <c r="AA42" s="32" t="e">
        <f>#REF!</f>
        <v>#REF!</v>
      </c>
    </row>
    <row r="43" spans="1:31" x14ac:dyDescent="0.2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Z43" s="30">
        <v>2009</v>
      </c>
      <c r="AA43" s="9">
        <f>L20</f>
        <v>874640</v>
      </c>
    </row>
    <row r="44" spans="1:31" x14ac:dyDescent="0.2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Z44" s="30">
        <v>2010</v>
      </c>
      <c r="AA44" s="9">
        <f>M20</f>
        <v>937992</v>
      </c>
    </row>
    <row r="45" spans="1:31" x14ac:dyDescent="0.2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Z45" s="8">
        <v>2011</v>
      </c>
      <c r="AA45" s="9">
        <f>N20</f>
        <v>882440</v>
      </c>
    </row>
    <row r="46" spans="1:31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Z46" s="8">
        <v>2012</v>
      </c>
      <c r="AA46" s="9">
        <f>O20</f>
        <v>1059336</v>
      </c>
    </row>
    <row r="47" spans="1:31" s="1" customFormat="1" x14ac:dyDescent="0.2">
      <c r="A47" s="7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7"/>
      <c r="T47" s="7"/>
      <c r="U47" s="7"/>
      <c r="V47" s="7"/>
      <c r="W47" s="7"/>
      <c r="X47" s="7"/>
      <c r="Y47" s="7"/>
      <c r="Z47" s="21">
        <v>2013</v>
      </c>
      <c r="AA47" s="121">
        <v>1010464</v>
      </c>
      <c r="AB47" s="7"/>
      <c r="AC47" s="7"/>
      <c r="AD47" s="7"/>
      <c r="AE47" s="7"/>
    </row>
    <row r="48" spans="1:31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Z48" s="123">
        <v>2014</v>
      </c>
      <c r="AA48" s="121">
        <v>1113548</v>
      </c>
    </row>
    <row r="49" spans="2:27" ht="14.25" hidden="1" customHeight="1" x14ac:dyDescent="0.2">
      <c r="B49" s="72" t="s">
        <v>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</row>
    <row r="50" spans="2:27" hidden="1" x14ac:dyDescent="0.2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</row>
    <row r="51" spans="2:27" ht="14.25" hidden="1" x14ac:dyDescent="0.2">
      <c r="B51" s="95">
        <v>1</v>
      </c>
      <c r="C51" s="53" t="s">
        <v>12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2:27" x14ac:dyDescent="0.2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Z52">
        <v>2015</v>
      </c>
      <c r="AA52" s="5">
        <v>1596444</v>
      </c>
    </row>
    <row r="53" spans="2:27" x14ac:dyDescent="0.2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</row>
    <row r="54" spans="2:27" x14ac:dyDescent="0.2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2:27" x14ac:dyDescent="0.2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</row>
    <row r="56" spans="2:27" x14ac:dyDescent="0.2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</row>
    <row r="57" spans="2:27" x14ac:dyDescent="0.2">
      <c r="B57" s="53"/>
      <c r="C57" s="59" t="s">
        <v>110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</row>
    <row r="58" spans="2:27" x14ac:dyDescent="0.2">
      <c r="P58" s="53"/>
      <c r="Q58" s="53"/>
      <c r="R58" s="53"/>
    </row>
    <row r="65" spans="2:44" x14ac:dyDescent="0.2">
      <c r="C65" s="3"/>
    </row>
    <row r="66" spans="2:44" x14ac:dyDescent="0.2">
      <c r="C66" s="3"/>
    </row>
    <row r="67" spans="2:44" x14ac:dyDescent="0.2">
      <c r="C67" s="3"/>
    </row>
    <row r="68" spans="2:44" x14ac:dyDescent="0.2">
      <c r="C68" s="3"/>
    </row>
    <row r="69" spans="2:44" x14ac:dyDescent="0.2">
      <c r="C69" s="3"/>
    </row>
    <row r="71" spans="2:44" x14ac:dyDescent="0.2">
      <c r="C71" s="3"/>
    </row>
    <row r="72" spans="2:44" x14ac:dyDescent="0.2">
      <c r="C72" s="3"/>
    </row>
    <row r="73" spans="2:44" x14ac:dyDescent="0.2">
      <c r="C73" s="3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</row>
    <row r="74" spans="2:44" s="22" customFormat="1" ht="9" customHeight="1" x14ac:dyDescent="0.2">
      <c r="B74" s="23"/>
      <c r="C74" s="23"/>
      <c r="D74" s="23"/>
      <c r="E74" s="23"/>
      <c r="F74" s="23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</row>
    <row r="75" spans="2:44" x14ac:dyDescent="0.2">
      <c r="B75" s="428">
        <f>'.03 delete'!C55+1</f>
        <v>2</v>
      </c>
      <c r="C75" s="428"/>
      <c r="D75" s="428"/>
      <c r="E75" s="428"/>
      <c r="F75" s="428"/>
      <c r="G75" s="428"/>
      <c r="H75" s="428"/>
      <c r="I75" s="428"/>
      <c r="J75" s="428"/>
      <c r="K75" s="428"/>
      <c r="L75" s="428"/>
      <c r="M75" s="428"/>
      <c r="N75" s="428"/>
      <c r="O75" s="428"/>
      <c r="P75" s="4"/>
    </row>
    <row r="76" spans="2:44" x14ac:dyDescent="0.2">
      <c r="C76" s="3"/>
      <c r="D76" s="3"/>
      <c r="E76" s="3"/>
      <c r="F76" s="3"/>
    </row>
    <row r="77" spans="2:44" x14ac:dyDescent="0.2">
      <c r="C77" s="3"/>
      <c r="D77" s="3"/>
      <c r="E77" s="3"/>
      <c r="F77" s="3"/>
    </row>
    <row r="78" spans="2:44" x14ac:dyDescent="0.2">
      <c r="C78" s="3"/>
      <c r="D78" s="3"/>
      <c r="E78" s="3"/>
      <c r="F78" s="3"/>
    </row>
    <row r="79" spans="2:44" x14ac:dyDescent="0.2">
      <c r="C79" s="3"/>
      <c r="D79" s="3"/>
      <c r="E79" s="3"/>
      <c r="F79" s="3"/>
    </row>
  </sheetData>
  <mergeCells count="5">
    <mergeCell ref="H4:O4"/>
    <mergeCell ref="C8:O9"/>
    <mergeCell ref="C26:C27"/>
    <mergeCell ref="B75:O75"/>
    <mergeCell ref="D11:R11"/>
  </mergeCells>
  <phoneticPr fontId="7" type="noConversion"/>
  <printOptions horizontalCentered="1"/>
  <pageMargins left="1" right="1" top="1" bottom="1" header="0.5" footer="0.24"/>
  <pageSetup scale="74" orientation="portrait" r:id="rId1"/>
  <headerFooter alignWithMargins="0"/>
  <ignoredErrors>
    <ignoredError sqref="M20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051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66675</xdr:rowOff>
              </from>
              <to>
                <xdr:col>1</xdr:col>
                <xdr:colOff>247650</xdr:colOff>
                <xdr:row>1</xdr:row>
                <xdr:rowOff>47625</xdr:rowOff>
              </to>
            </anchor>
          </objectPr>
        </oleObject>
      </mc:Choice>
      <mc:Fallback>
        <oleObject progId="MSPhotoEd.3" shapeId="205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H76"/>
  <sheetViews>
    <sheetView topLeftCell="C1" zoomScaleNormal="100" zoomScaleSheetLayoutView="100" workbookViewId="0">
      <pane xSplit="34" topLeftCell="AK1" activePane="topRight" state="frozen"/>
      <selection activeCell="C1" sqref="C1"/>
      <selection pane="topRight" activeCell="C8" sqref="C8"/>
    </sheetView>
  </sheetViews>
  <sheetFormatPr defaultRowHeight="12.75" outlineLevelCol="1" x14ac:dyDescent="0.2"/>
  <cols>
    <col min="1" max="1" width="2" style="17" customWidth="1"/>
    <col min="2" max="2" width="7.85546875" style="17" customWidth="1"/>
    <col min="3" max="3" width="50.42578125" style="17" customWidth="1"/>
    <col min="4" max="16" width="9.140625" style="17" hidden="1" customWidth="1" outlineLevel="1"/>
    <col min="17" max="17" width="9.140625" style="17" hidden="1" customWidth="1" collapsed="1"/>
    <col min="18" max="18" width="9.140625" style="17" hidden="1" customWidth="1"/>
    <col min="19" max="21" width="8.7109375" style="17" hidden="1" customWidth="1"/>
    <col min="22" max="22" width="5.5703125" style="17" hidden="1" customWidth="1"/>
    <col min="23" max="23" width="5.7109375" style="17" hidden="1" customWidth="1"/>
    <col min="24" max="24" width="13.5703125" style="17" hidden="1" customWidth="1"/>
    <col min="25" max="25" width="10.42578125" style="17" hidden="1" customWidth="1"/>
    <col min="26" max="26" width="10.140625" style="17" hidden="1" customWidth="1"/>
    <col min="27" max="28" width="10" style="17" hidden="1" customWidth="1"/>
    <col min="29" max="30" width="10.140625" style="17" hidden="1" customWidth="1"/>
    <col min="31" max="31" width="10" style="17" hidden="1" customWidth="1"/>
    <col min="32" max="32" width="12.7109375" style="17" hidden="1" customWidth="1"/>
    <col min="33" max="33" width="10.140625" style="17" hidden="1" customWidth="1"/>
    <col min="34" max="34" width="12.140625" style="17" hidden="1" customWidth="1"/>
    <col min="35" max="35" width="10.85546875" style="17" hidden="1" customWidth="1"/>
    <col min="36" max="36" width="11.28515625" style="17" hidden="1" customWidth="1"/>
    <col min="37" max="37" width="11.7109375" style="17" customWidth="1"/>
    <col min="38" max="38" width="6.85546875" style="17" hidden="1" customWidth="1"/>
    <col min="39" max="41" width="12.85546875" style="17" customWidth="1"/>
    <col min="42" max="42" width="12" style="17" customWidth="1"/>
    <col min="43" max="43" width="12.5703125" style="17" hidden="1" customWidth="1"/>
    <col min="44" max="44" width="15.42578125" style="17" hidden="1" customWidth="1"/>
    <col min="45" max="45" width="11.28515625" style="17" hidden="1" customWidth="1"/>
    <col min="46" max="46" width="11.85546875" style="17" hidden="1" customWidth="1"/>
    <col min="47" max="47" width="10.85546875" style="17" hidden="1" customWidth="1"/>
    <col min="48" max="48" width="9.140625" style="17" hidden="1" customWidth="1"/>
    <col min="49" max="49" width="10" style="17" hidden="1" customWidth="1"/>
    <col min="50" max="50" width="10.28515625" style="17" hidden="1" customWidth="1"/>
    <col min="51" max="51" width="12.85546875" style="17" hidden="1" customWidth="1"/>
    <col min="52" max="56" width="0" style="17" hidden="1" customWidth="1"/>
    <col min="57" max="16384" width="9.140625" style="17"/>
  </cols>
  <sheetData>
    <row r="1" spans="2:60" x14ac:dyDescent="0.2">
      <c r="BF1" s="144" t="s">
        <v>253</v>
      </c>
    </row>
    <row r="4" spans="2:60" ht="15" x14ac:dyDescent="0.25">
      <c r="AE4" s="400"/>
      <c r="AF4" s="400"/>
      <c r="AG4" s="400"/>
      <c r="AH4" s="400"/>
      <c r="AI4" s="400"/>
      <c r="AJ4" s="400"/>
      <c r="AK4" s="400"/>
      <c r="AL4" s="208"/>
    </row>
    <row r="7" spans="2:60" ht="18.75" x14ac:dyDescent="0.25">
      <c r="B7" s="131">
        <v>12.05</v>
      </c>
      <c r="C7" s="399" t="s">
        <v>277</v>
      </c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</row>
    <row r="8" spans="2:60" x14ac:dyDescent="0.2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</row>
    <row r="9" spans="2:60" x14ac:dyDescent="0.2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269"/>
      <c r="X9" s="31"/>
      <c r="Y9" s="31"/>
      <c r="Z9" s="31"/>
      <c r="AA9" s="270"/>
      <c r="AB9" s="31"/>
      <c r="AC9" s="31"/>
      <c r="AD9" s="31"/>
      <c r="AE9" s="31"/>
      <c r="AF9" s="31"/>
      <c r="AL9" s="271"/>
      <c r="AN9" s="216"/>
      <c r="BH9" s="216" t="s">
        <v>190</v>
      </c>
    </row>
    <row r="10" spans="2:60" ht="15.75" x14ac:dyDescent="0.25">
      <c r="B10" s="31"/>
      <c r="C10" s="272" t="s">
        <v>13</v>
      </c>
      <c r="D10" s="273">
        <v>1977</v>
      </c>
      <c r="E10" s="273">
        <v>1978</v>
      </c>
      <c r="F10" s="273">
        <v>1979</v>
      </c>
      <c r="G10" s="273">
        <v>1980</v>
      </c>
      <c r="H10" s="273">
        <v>1981</v>
      </c>
      <c r="I10" s="273">
        <v>1982</v>
      </c>
      <c r="J10" s="273">
        <v>1983</v>
      </c>
      <c r="K10" s="273">
        <v>1984</v>
      </c>
      <c r="L10" s="274" t="s">
        <v>54</v>
      </c>
      <c r="M10" s="273">
        <v>1986</v>
      </c>
      <c r="N10" s="274" t="s">
        <v>55</v>
      </c>
      <c r="O10" s="273">
        <v>1988</v>
      </c>
      <c r="P10" s="273">
        <v>1989</v>
      </c>
      <c r="Q10" s="273">
        <v>1990</v>
      </c>
      <c r="R10" s="273">
        <v>1991</v>
      </c>
      <c r="S10" s="273">
        <v>1992</v>
      </c>
      <c r="T10" s="273">
        <v>1993</v>
      </c>
      <c r="U10" s="219">
        <v>1994</v>
      </c>
      <c r="V10" s="219">
        <v>1995</v>
      </c>
      <c r="W10" s="219"/>
      <c r="X10" s="219">
        <v>1997</v>
      </c>
      <c r="Y10" s="219">
        <v>1998</v>
      </c>
      <c r="Z10" s="219">
        <v>1999</v>
      </c>
      <c r="AA10" s="219">
        <v>2000</v>
      </c>
      <c r="AB10" s="20">
        <v>2001</v>
      </c>
      <c r="AC10" s="219" t="s">
        <v>49</v>
      </c>
      <c r="AD10" s="20">
        <v>2003</v>
      </c>
      <c r="AE10" s="20">
        <v>2004</v>
      </c>
      <c r="AF10" s="219" t="s">
        <v>88</v>
      </c>
      <c r="AG10" s="219">
        <v>2008</v>
      </c>
      <c r="AH10" s="219">
        <v>2009</v>
      </c>
      <c r="AI10" s="219">
        <v>2010</v>
      </c>
      <c r="AJ10" s="275">
        <v>2011</v>
      </c>
      <c r="AK10" s="219">
        <v>2012</v>
      </c>
      <c r="AL10" s="219">
        <v>2013</v>
      </c>
      <c r="AM10" s="219">
        <v>2013</v>
      </c>
      <c r="AN10" s="219">
        <v>2014</v>
      </c>
      <c r="AO10" s="219">
        <v>2015</v>
      </c>
      <c r="AP10" s="219">
        <v>2016</v>
      </c>
      <c r="AQ10" s="276"/>
      <c r="AR10" s="25"/>
      <c r="AS10" s="25"/>
      <c r="BE10" s="219">
        <v>2017</v>
      </c>
      <c r="BF10" s="219">
        <v>2018</v>
      </c>
      <c r="BG10" s="219">
        <v>2019</v>
      </c>
      <c r="BH10" s="219">
        <v>2020</v>
      </c>
    </row>
    <row r="11" spans="2:60" ht="9.75" customHeight="1" x14ac:dyDescent="0.25">
      <c r="B11" s="31"/>
      <c r="C11" s="255"/>
      <c r="D11" s="277"/>
      <c r="E11" s="277"/>
      <c r="F11" s="277"/>
      <c r="G11" s="277"/>
      <c r="H11" s="277"/>
      <c r="I11" s="277"/>
      <c r="J11" s="277"/>
      <c r="K11" s="277"/>
      <c r="L11" s="278"/>
      <c r="M11" s="277"/>
      <c r="N11" s="278"/>
      <c r="O11" s="277"/>
      <c r="P11" s="277"/>
      <c r="Q11" s="277"/>
      <c r="R11" s="277"/>
      <c r="S11" s="277"/>
      <c r="T11" s="277"/>
      <c r="U11" s="279"/>
      <c r="V11" s="279"/>
      <c r="W11" s="279"/>
      <c r="X11" s="279"/>
      <c r="Y11" s="279"/>
      <c r="Z11" s="279"/>
      <c r="AA11" s="279"/>
      <c r="AB11" s="151"/>
      <c r="AC11" s="279"/>
      <c r="AD11" s="151"/>
      <c r="AE11" s="151"/>
      <c r="AF11" s="279"/>
      <c r="AG11" s="151"/>
      <c r="AH11" s="151"/>
      <c r="AI11" s="151"/>
      <c r="AK11" s="151"/>
      <c r="AL11" s="151"/>
      <c r="AM11" s="151"/>
      <c r="AN11" s="151"/>
      <c r="AO11" s="151"/>
      <c r="AP11" s="151"/>
      <c r="AQ11" s="276"/>
      <c r="AR11" s="25"/>
      <c r="AS11" s="25"/>
      <c r="BE11" s="151"/>
      <c r="BF11" s="151"/>
      <c r="BG11" s="151"/>
    </row>
    <row r="12" spans="2:60" ht="15" customHeight="1" x14ac:dyDescent="0.2">
      <c r="B12" s="31"/>
      <c r="C12" s="152" t="s">
        <v>28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280">
        <f>SUM(AG13+AG28+AG33)</f>
        <v>2437492.5000000005</v>
      </c>
      <c r="AH12" s="281">
        <v>2598.1433333333334</v>
      </c>
      <c r="AI12" s="281">
        <v>2729.2733333333331</v>
      </c>
      <c r="AJ12" s="281">
        <v>2724.2530000000002</v>
      </c>
      <c r="AK12" s="281">
        <v>2691.8641666666667</v>
      </c>
      <c r="AL12" s="281">
        <v>2691.8641666666667</v>
      </c>
      <c r="AM12" s="281">
        <v>2636.8</v>
      </c>
      <c r="AN12" s="281">
        <v>2657.5</v>
      </c>
      <c r="AO12" s="281">
        <v>2684.7</v>
      </c>
      <c r="AP12" s="281">
        <v>2809</v>
      </c>
      <c r="AR12" s="17">
        <v>4932.3999999999996</v>
      </c>
      <c r="BE12" s="281">
        <f>BE13+BE28+BE33</f>
        <v>2950.1774999999998</v>
      </c>
      <c r="BF12" s="281">
        <v>2859.1008633333331</v>
      </c>
      <c r="BG12" s="281">
        <v>3024.9073232166666</v>
      </c>
      <c r="BH12" s="281">
        <v>3195.5970042833333</v>
      </c>
    </row>
    <row r="13" spans="2:60" ht="15" x14ac:dyDescent="0.2">
      <c r="B13" s="31"/>
      <c r="C13" s="282" t="s">
        <v>99</v>
      </c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31"/>
      <c r="Y13" s="156"/>
      <c r="Z13" s="156"/>
      <c r="AA13" s="156"/>
      <c r="AB13" s="156"/>
      <c r="AC13" s="156"/>
      <c r="AD13" s="156"/>
      <c r="AE13" s="156"/>
      <c r="AF13" s="156"/>
      <c r="AG13" s="280">
        <f>SUM(AG14+AG19+AG23+AG27)</f>
        <v>952735.83333333326</v>
      </c>
      <c r="AH13" s="281">
        <v>971.27416666666659</v>
      </c>
      <c r="AI13" s="281">
        <v>1049.5408333333332</v>
      </c>
      <c r="AJ13" s="281">
        <v>1007.841</v>
      </c>
      <c r="AK13" s="281">
        <v>838.08416666666665</v>
      </c>
      <c r="AL13" s="281">
        <v>838.08416666666665</v>
      </c>
      <c r="AM13" s="281">
        <f t="shared" ref="AM13:AN13" si="0">AM14+AM19+AM23+AM27</f>
        <v>838.8</v>
      </c>
      <c r="AN13" s="281">
        <f t="shared" si="0"/>
        <v>819.19999999999993</v>
      </c>
      <c r="AO13" s="281">
        <f>AO14+AO19+AO23+AO27</f>
        <v>827.2</v>
      </c>
      <c r="AP13" s="281">
        <f>AP14+AP19+AP23+AP27</f>
        <v>907.50000000000011</v>
      </c>
      <c r="AQ13" s="283" t="e">
        <f>#REF!/#REF!*100</f>
        <v>#REF!</v>
      </c>
      <c r="AR13" s="27">
        <v>2281.6999999999998</v>
      </c>
      <c r="AS13" s="163"/>
      <c r="BE13" s="281">
        <f>BE14+BE19+BE23+BE27</f>
        <v>884.06500000000005</v>
      </c>
      <c r="BF13" s="281">
        <v>717.42336333333344</v>
      </c>
      <c r="BG13" s="281">
        <v>937.51206798333328</v>
      </c>
      <c r="BH13" s="281">
        <v>1035.3507610416666</v>
      </c>
    </row>
    <row r="14" spans="2:60" ht="15" x14ac:dyDescent="0.2">
      <c r="B14" s="31"/>
      <c r="C14" s="284" t="s">
        <v>105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31"/>
      <c r="Y14" s="156"/>
      <c r="Z14" s="156"/>
      <c r="AA14" s="156"/>
      <c r="AB14" s="156"/>
      <c r="AC14" s="156"/>
      <c r="AD14" s="285"/>
      <c r="AE14" s="286"/>
      <c r="AF14" s="285"/>
      <c r="AG14" s="287">
        <f t="shared" ref="AG14" si="1">SUM(AG15:AG18)</f>
        <v>118184.16666666667</v>
      </c>
      <c r="AH14" s="281">
        <f t="shared" ref="AH14" si="2">SUM(AH15:AH18)</f>
        <v>149.44666666666669</v>
      </c>
      <c r="AI14" s="281">
        <f t="shared" ref="AI14" si="3">SUM(AI15:AI18)</f>
        <v>291.87750000000005</v>
      </c>
      <c r="AJ14" s="281">
        <f t="shared" ref="AJ14" si="4">SUM(AJ15:AJ18)</f>
        <v>410.46100000000001</v>
      </c>
      <c r="AK14" s="281">
        <f t="shared" ref="AK14" si="5">SUM(AK15:AK18)</f>
        <v>324.11916666666667</v>
      </c>
      <c r="AL14" s="281">
        <f t="shared" ref="AL14" si="6">SUM(AL15:AL18)</f>
        <v>324.11916666666667</v>
      </c>
      <c r="AM14" s="281">
        <f t="shared" ref="AM14" si="7">SUM(AM15:AM18)</f>
        <v>301.3</v>
      </c>
      <c r="AN14" s="281">
        <f t="shared" ref="AN14" si="8">SUM(AN15:AN18)</f>
        <v>168.60000000000002</v>
      </c>
      <c r="AO14" s="281">
        <f t="shared" ref="AO14" si="9">SUM(AO15:AO18)</f>
        <v>165.5</v>
      </c>
      <c r="AP14" s="281">
        <f>SUM(AP15:AP18)</f>
        <v>172.1</v>
      </c>
      <c r="AR14" s="27">
        <v>100.2</v>
      </c>
      <c r="AS14" s="163"/>
      <c r="BE14" s="281">
        <f>SUM(BE15:BE18)</f>
        <v>159.45916666666668</v>
      </c>
      <c r="BF14" s="281">
        <v>215.56916666666666</v>
      </c>
      <c r="BG14" s="281">
        <v>217.00722546666663</v>
      </c>
      <c r="BH14" s="281">
        <v>236.68171401666663</v>
      </c>
    </row>
    <row r="15" spans="2:60" ht="15" x14ac:dyDescent="0.2">
      <c r="B15" s="31"/>
      <c r="C15" s="288" t="s">
        <v>136</v>
      </c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90"/>
      <c r="Y15" s="289"/>
      <c r="Z15" s="289"/>
      <c r="AA15" s="289"/>
      <c r="AB15" s="289"/>
      <c r="AC15" s="289"/>
      <c r="AD15" s="289"/>
      <c r="AE15" s="289"/>
      <c r="AF15" s="289"/>
      <c r="AG15" s="291">
        <v>7192.5</v>
      </c>
      <c r="AH15" s="292">
        <v>6.9633333333333338</v>
      </c>
      <c r="AI15" s="292">
        <v>7.09</v>
      </c>
      <c r="AJ15" s="226">
        <v>15.833</v>
      </c>
      <c r="AK15" s="293">
        <v>11.943333333333333</v>
      </c>
      <c r="AL15" s="293">
        <v>11.943333333333333</v>
      </c>
      <c r="AM15" s="293">
        <v>12.7</v>
      </c>
      <c r="AN15" s="293">
        <v>20.100000000000001</v>
      </c>
      <c r="AO15" s="293">
        <v>8.3000000000000007</v>
      </c>
      <c r="AP15" s="293">
        <v>4.3</v>
      </c>
      <c r="AQ15" s="283" t="e">
        <f>#REF!/#REF!*100</f>
        <v>#REF!</v>
      </c>
      <c r="AR15" s="27">
        <v>2181.5</v>
      </c>
      <c r="AS15" s="163"/>
      <c r="BE15" s="293">
        <v>4.6766666666666667</v>
      </c>
      <c r="BF15" s="293">
        <v>4.9258333333333342</v>
      </c>
      <c r="BG15" s="293">
        <v>4.561280758333333</v>
      </c>
      <c r="BH15" s="293">
        <v>4.4197511666666669</v>
      </c>
    </row>
    <row r="16" spans="2:60" ht="15" x14ac:dyDescent="0.2">
      <c r="B16" s="31"/>
      <c r="C16" s="288" t="s">
        <v>100</v>
      </c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94"/>
      <c r="Y16" s="289"/>
      <c r="Z16" s="289"/>
      <c r="AA16" s="289"/>
      <c r="AB16" s="289"/>
      <c r="AC16" s="289"/>
      <c r="AD16" s="289"/>
      <c r="AE16" s="294"/>
      <c r="AF16" s="295"/>
      <c r="AG16" s="291">
        <v>5399.166666666667</v>
      </c>
      <c r="AH16" s="292">
        <v>7.0141666666666671</v>
      </c>
      <c r="AI16" s="292">
        <v>9.2725000000000009</v>
      </c>
      <c r="AJ16" s="226">
        <v>25.143000000000001</v>
      </c>
      <c r="AK16" s="293">
        <v>27.174166666666668</v>
      </c>
      <c r="AL16" s="293">
        <v>27.174166666666668</v>
      </c>
      <c r="AM16" s="293">
        <v>20.5</v>
      </c>
      <c r="AN16" s="293">
        <v>13.4</v>
      </c>
      <c r="AO16" s="293">
        <v>18.7</v>
      </c>
      <c r="AP16" s="293">
        <v>19.600000000000001</v>
      </c>
      <c r="AR16" s="27">
        <v>2650.7</v>
      </c>
      <c r="AS16" s="163"/>
      <c r="BE16" s="293">
        <v>14.1</v>
      </c>
      <c r="BF16" s="293">
        <v>13.750833333333334</v>
      </c>
      <c r="BG16" s="293">
        <v>8.0381876166666686</v>
      </c>
      <c r="BH16" s="293">
        <v>8.8825475249999997</v>
      </c>
    </row>
    <row r="17" spans="2:60" ht="15" x14ac:dyDescent="0.2">
      <c r="B17" s="31"/>
      <c r="C17" s="288" t="s">
        <v>18</v>
      </c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90"/>
      <c r="Y17" s="289"/>
      <c r="Z17" s="289"/>
      <c r="AA17" s="289"/>
      <c r="AB17" s="289"/>
      <c r="AC17" s="289"/>
      <c r="AD17" s="289"/>
      <c r="AE17" s="289"/>
      <c r="AF17" s="289"/>
      <c r="AG17" s="291">
        <v>25693.333333333336</v>
      </c>
      <c r="AH17" s="292">
        <v>20.56</v>
      </c>
      <c r="AI17" s="292">
        <v>56.976666666666674</v>
      </c>
      <c r="AJ17" s="226">
        <v>17.606999999999999</v>
      </c>
      <c r="AK17" s="293">
        <v>2.5791666666666671</v>
      </c>
      <c r="AL17" s="293">
        <v>2.5791666666666671</v>
      </c>
      <c r="AM17" s="293">
        <v>2.4</v>
      </c>
      <c r="AN17" s="293">
        <v>15.7</v>
      </c>
      <c r="AO17" s="293">
        <v>12.9</v>
      </c>
      <c r="AP17" s="293">
        <v>36.9</v>
      </c>
      <c r="AQ17" s="283" t="e">
        <f>#REF!/#REF!*100</f>
        <v>#REF!</v>
      </c>
      <c r="AR17" s="27">
        <v>2971.2</v>
      </c>
      <c r="AS17" s="163"/>
      <c r="BE17" s="293">
        <v>22.959166666666668</v>
      </c>
      <c r="BF17" s="293">
        <v>58.517499999999998</v>
      </c>
      <c r="BG17" s="293">
        <v>16.784375675</v>
      </c>
      <c r="BH17" s="293">
        <v>16.428703133333332</v>
      </c>
    </row>
    <row r="18" spans="2:60" x14ac:dyDescent="0.2">
      <c r="B18" s="31"/>
      <c r="C18" s="288" t="s">
        <v>19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90"/>
      <c r="Y18" s="289"/>
      <c r="Z18" s="289"/>
      <c r="AA18" s="289"/>
      <c r="AB18" s="289"/>
      <c r="AC18" s="289"/>
      <c r="AD18" s="289"/>
      <c r="AE18" s="294"/>
      <c r="AF18" s="295"/>
      <c r="AG18" s="291">
        <v>79899.166666666672</v>
      </c>
      <c r="AH18" s="292">
        <v>114.90916666666668</v>
      </c>
      <c r="AI18" s="292">
        <v>218.53833333333336</v>
      </c>
      <c r="AJ18" s="226">
        <v>351.87799999999999</v>
      </c>
      <c r="AK18" s="293">
        <v>282.42250000000001</v>
      </c>
      <c r="AL18" s="293">
        <v>282.42250000000001</v>
      </c>
      <c r="AM18" s="293">
        <v>265.7</v>
      </c>
      <c r="AN18" s="293">
        <v>119.4</v>
      </c>
      <c r="AO18" s="293">
        <v>125.6</v>
      </c>
      <c r="AP18" s="293">
        <v>111.3</v>
      </c>
      <c r="AQ18" s="296">
        <f>SUM(AG14+AG19+AG23+AG27+AG28+AG33)</f>
        <v>2437492.5000000005</v>
      </c>
      <c r="AR18" s="296">
        <v>243.6</v>
      </c>
      <c r="AS18" s="296">
        <f>SUM(AI14+AI19+AI23+AI27+AI28+AI33)</f>
        <v>2729.2733333333335</v>
      </c>
      <c r="BE18" s="293">
        <v>117.72333333333334</v>
      </c>
      <c r="BF18" s="293">
        <v>138.375</v>
      </c>
      <c r="BG18" s="293">
        <v>187.62338141666663</v>
      </c>
      <c r="BH18" s="293">
        <v>206.95071219166664</v>
      </c>
    </row>
    <row r="19" spans="2:60" ht="15" x14ac:dyDescent="0.2">
      <c r="B19" s="31"/>
      <c r="C19" s="284" t="s">
        <v>101</v>
      </c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68"/>
      <c r="Y19" s="156"/>
      <c r="Z19" s="156"/>
      <c r="AA19" s="156"/>
      <c r="AB19" s="156"/>
      <c r="AC19" s="156"/>
      <c r="AD19" s="156"/>
      <c r="AE19" s="156"/>
      <c r="AF19" s="156"/>
      <c r="AG19" s="280">
        <f>SUM(AG20:AG22)</f>
        <v>186937.5</v>
      </c>
      <c r="AH19" s="281">
        <f t="shared" ref="AH19:AO19" si="10">SUM(AH20:AH22)</f>
        <v>260.13083333333338</v>
      </c>
      <c r="AI19" s="281">
        <f t="shared" si="10"/>
        <v>210.8425</v>
      </c>
      <c r="AJ19" s="281">
        <f t="shared" si="10"/>
        <v>167.05500000000001</v>
      </c>
      <c r="AK19" s="281">
        <f t="shared" si="10"/>
        <v>129.35749999999999</v>
      </c>
      <c r="AL19" s="281">
        <f t="shared" si="10"/>
        <v>129.35749999999999</v>
      </c>
      <c r="AM19" s="281">
        <f t="shared" si="10"/>
        <v>95.5</v>
      </c>
      <c r="AN19" s="281">
        <f t="shared" si="10"/>
        <v>82.199999999999989</v>
      </c>
      <c r="AO19" s="281">
        <f t="shared" si="10"/>
        <v>65.599999999999994</v>
      </c>
      <c r="AP19" s="281">
        <f>SUM(AP20:AP22)</f>
        <v>72.2</v>
      </c>
      <c r="AQ19" s="283" t="e">
        <f>#REF!/#REF!*100</f>
        <v>#REF!</v>
      </c>
      <c r="AR19" s="27">
        <v>70.099999999999994</v>
      </c>
      <c r="AS19" s="163"/>
      <c r="BE19" s="281">
        <f>SUM(BE20:BE22)</f>
        <v>85.35</v>
      </c>
      <c r="BF19" s="281">
        <v>95.183333333333337</v>
      </c>
      <c r="BG19" s="281">
        <v>102.35932995833333</v>
      </c>
      <c r="BH19" s="281">
        <v>116.982165575</v>
      </c>
    </row>
    <row r="20" spans="2:60" ht="15" x14ac:dyDescent="0.2">
      <c r="B20" s="31"/>
      <c r="C20" s="288" t="s">
        <v>138</v>
      </c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94"/>
      <c r="Y20" s="289"/>
      <c r="Z20" s="289"/>
      <c r="AA20" s="289"/>
      <c r="AB20" s="289"/>
      <c r="AC20" s="289"/>
      <c r="AD20" s="289"/>
      <c r="AE20" s="294"/>
      <c r="AF20" s="295"/>
      <c r="AG20" s="291">
        <v>78663.333333333343</v>
      </c>
      <c r="AH20" s="292">
        <v>130.51916666666668</v>
      </c>
      <c r="AI20" s="292">
        <v>113.42749999999999</v>
      </c>
      <c r="AJ20" s="226">
        <v>116.336</v>
      </c>
      <c r="AK20" s="293">
        <v>92.607500000000002</v>
      </c>
      <c r="AL20" s="293">
        <v>92.607500000000002</v>
      </c>
      <c r="AM20" s="293">
        <v>55</v>
      </c>
      <c r="AN20" s="293">
        <v>27.7</v>
      </c>
      <c r="AO20" s="293">
        <v>15.4</v>
      </c>
      <c r="AP20" s="293">
        <v>13.6</v>
      </c>
      <c r="AR20" s="27">
        <v>2657.5</v>
      </c>
      <c r="AS20" s="163"/>
      <c r="BE20" s="293">
        <v>26.383333333333336</v>
      </c>
      <c r="BF20" s="293">
        <v>42.905000000000001</v>
      </c>
      <c r="BG20" s="293">
        <v>60.904605383333326</v>
      </c>
      <c r="BH20" s="293">
        <v>65.581756274999989</v>
      </c>
    </row>
    <row r="21" spans="2:60" ht="15" x14ac:dyDescent="0.2">
      <c r="B21" s="31"/>
      <c r="C21" s="288" t="s">
        <v>137</v>
      </c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90"/>
      <c r="Y21" s="289"/>
      <c r="Z21" s="289"/>
      <c r="AA21" s="289"/>
      <c r="AB21" s="289"/>
      <c r="AC21" s="289"/>
      <c r="AD21" s="289"/>
      <c r="AE21" s="289"/>
      <c r="AF21" s="289"/>
      <c r="AG21" s="291">
        <v>41781.666666666672</v>
      </c>
      <c r="AH21" s="292">
        <v>27.71166666666667</v>
      </c>
      <c r="AI21" s="292">
        <v>5.0183333333333335</v>
      </c>
      <c r="AJ21" s="226">
        <v>25.826000000000001</v>
      </c>
      <c r="AK21" s="293">
        <v>14.928333333333335</v>
      </c>
      <c r="AL21" s="293">
        <v>14.928333333333335</v>
      </c>
      <c r="AM21" s="293">
        <v>18.5</v>
      </c>
      <c r="AN21" s="293">
        <v>17.399999999999999</v>
      </c>
      <c r="AO21" s="293">
        <v>17.399999999999999</v>
      </c>
      <c r="AP21" s="293">
        <v>19.399999999999999</v>
      </c>
      <c r="AQ21" s="283" t="e">
        <f>#REF!/#REF!*100</f>
        <v>#REF!</v>
      </c>
      <c r="AR21" s="27">
        <v>-320.5</v>
      </c>
      <c r="AS21" s="163"/>
      <c r="BE21" s="293">
        <v>24.114166666666669</v>
      </c>
      <c r="BF21" s="293">
        <v>23.351666666666667</v>
      </c>
      <c r="BG21" s="293">
        <v>21.484123158333333</v>
      </c>
      <c r="BH21" s="293">
        <v>28.813361658333339</v>
      </c>
    </row>
    <row r="22" spans="2:60" ht="15" x14ac:dyDescent="0.2">
      <c r="B22" s="31"/>
      <c r="C22" s="288" t="s">
        <v>139</v>
      </c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94"/>
      <c r="Y22" s="289"/>
      <c r="Z22" s="289"/>
      <c r="AA22" s="289"/>
      <c r="AB22" s="289"/>
      <c r="AC22" s="289"/>
      <c r="AD22" s="289"/>
      <c r="AE22" s="294"/>
      <c r="AF22" s="295"/>
      <c r="AG22" s="291">
        <v>66492.5</v>
      </c>
      <c r="AH22" s="292">
        <v>101.9</v>
      </c>
      <c r="AI22" s="292">
        <v>92.396666666666675</v>
      </c>
      <c r="AJ22" s="226">
        <v>24.893000000000001</v>
      </c>
      <c r="AK22" s="293">
        <v>21.821666666666669</v>
      </c>
      <c r="AL22" s="293">
        <v>21.821666666666669</v>
      </c>
      <c r="AM22" s="293">
        <v>22</v>
      </c>
      <c r="AN22" s="293">
        <v>37.1</v>
      </c>
      <c r="AO22" s="293">
        <v>32.799999999999997</v>
      </c>
      <c r="AP22" s="293">
        <v>39.200000000000003</v>
      </c>
      <c r="AR22" s="27"/>
      <c r="AS22" s="163"/>
      <c r="BE22" s="293">
        <v>34.852499999999999</v>
      </c>
      <c r="BF22" s="293">
        <v>28.926666666666669</v>
      </c>
      <c r="BG22" s="293">
        <v>19.970601416666664</v>
      </c>
      <c r="BH22" s="293">
        <v>22.587047641666668</v>
      </c>
    </row>
    <row r="23" spans="2:60" ht="15" x14ac:dyDescent="0.2">
      <c r="B23" s="31"/>
      <c r="C23" s="284" t="s">
        <v>102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68"/>
      <c r="Y23" s="156"/>
      <c r="Z23" s="156"/>
      <c r="AA23" s="156"/>
      <c r="AB23" s="156"/>
      <c r="AC23" s="156"/>
      <c r="AD23" s="156"/>
      <c r="AE23" s="156"/>
      <c r="AF23" s="156"/>
      <c r="AG23" s="280">
        <f>SUM(AG24:AG26)</f>
        <v>607206.66666666663</v>
      </c>
      <c r="AH23" s="281">
        <f t="shared" ref="AH23:AO23" si="11">SUM(AH24:AH26)</f>
        <v>519.04750000000013</v>
      </c>
      <c r="AI23" s="281">
        <f t="shared" si="11"/>
        <v>453.95250000000004</v>
      </c>
      <c r="AJ23" s="281">
        <f t="shared" si="11"/>
        <v>383.57499999999999</v>
      </c>
      <c r="AK23" s="281">
        <f t="shared" si="11"/>
        <v>343.48833333333334</v>
      </c>
      <c r="AL23" s="281">
        <f t="shared" si="11"/>
        <v>343.48833333333334</v>
      </c>
      <c r="AM23" s="281">
        <f t="shared" si="11"/>
        <v>410.2</v>
      </c>
      <c r="AN23" s="281">
        <f t="shared" si="11"/>
        <v>465.5</v>
      </c>
      <c r="AO23" s="281">
        <f t="shared" si="11"/>
        <v>483.9</v>
      </c>
      <c r="AP23" s="281">
        <f>SUM(AP24:AP26)</f>
        <v>525.6</v>
      </c>
      <c r="AQ23" s="283" t="e">
        <f>#REF!/#REF!*100</f>
        <v>#REF!</v>
      </c>
      <c r="AR23" s="27">
        <v>4932.3999999999996</v>
      </c>
      <c r="AS23" s="163"/>
      <c r="BE23" s="281">
        <f>SUM(BE24:BE26)</f>
        <v>578.58833333333337</v>
      </c>
      <c r="BF23" s="281">
        <v>363.30753000000004</v>
      </c>
      <c r="BG23" s="281">
        <v>584.64706051666667</v>
      </c>
      <c r="BH23" s="281">
        <v>652.89896830000009</v>
      </c>
    </row>
    <row r="24" spans="2:60" ht="15" x14ac:dyDescent="0.2">
      <c r="B24" s="31"/>
      <c r="C24" s="288" t="s">
        <v>140</v>
      </c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90"/>
      <c r="Y24" s="289"/>
      <c r="Z24" s="289"/>
      <c r="AA24" s="289"/>
      <c r="AB24" s="289"/>
      <c r="AC24" s="289"/>
      <c r="AD24" s="289"/>
      <c r="AE24" s="294"/>
      <c r="AF24" s="295"/>
      <c r="AG24" s="291">
        <v>167661.66666666669</v>
      </c>
      <c r="AH24" s="292">
        <v>79.797499999999999</v>
      </c>
      <c r="AI24" s="292">
        <v>67.3</v>
      </c>
      <c r="AJ24" s="226">
        <v>78.090999999999994</v>
      </c>
      <c r="AK24" s="293">
        <v>57.985833333333339</v>
      </c>
      <c r="AL24" s="293">
        <v>57.985833333333339</v>
      </c>
      <c r="AM24" s="293">
        <v>71.3</v>
      </c>
      <c r="AN24" s="293">
        <v>72.3</v>
      </c>
      <c r="AO24" s="293">
        <v>68.5</v>
      </c>
      <c r="AP24" s="293">
        <v>53.4</v>
      </c>
      <c r="AR24" s="27">
        <v>1209.0999999999999</v>
      </c>
      <c r="AS24" s="163"/>
      <c r="BE24" s="293">
        <v>53.205833333333338</v>
      </c>
      <c r="BF24" s="293">
        <v>34.987499999999997</v>
      </c>
      <c r="BG24" s="293">
        <v>57.823768300000005</v>
      </c>
      <c r="BH24" s="293">
        <v>70.233163958333336</v>
      </c>
    </row>
    <row r="25" spans="2:60" ht="15" x14ac:dyDescent="0.2">
      <c r="B25" s="31"/>
      <c r="C25" s="288" t="s">
        <v>141</v>
      </c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90"/>
      <c r="Y25" s="289"/>
      <c r="Z25" s="289"/>
      <c r="AA25" s="289"/>
      <c r="AB25" s="289"/>
      <c r="AC25" s="289"/>
      <c r="AD25" s="289"/>
      <c r="AE25" s="289"/>
      <c r="AF25" s="289"/>
      <c r="AG25" s="291">
        <v>430313.33333333337</v>
      </c>
      <c r="AH25" s="292">
        <v>425.87583333333339</v>
      </c>
      <c r="AI25" s="292">
        <v>364.08083333333337</v>
      </c>
      <c r="AJ25" s="226">
        <v>136.52699999999999</v>
      </c>
      <c r="AK25" s="293">
        <v>128.57499999999999</v>
      </c>
      <c r="AL25" s="293">
        <v>128.57499999999999</v>
      </c>
      <c r="AM25" s="293">
        <v>140.69999999999999</v>
      </c>
      <c r="AN25" s="293">
        <v>211.9</v>
      </c>
      <c r="AO25" s="293">
        <v>211.7</v>
      </c>
      <c r="AP25" s="293">
        <v>194.6</v>
      </c>
      <c r="AQ25" s="283" t="e">
        <f>#REF!/#REF!*100</f>
        <v>#REF!</v>
      </c>
      <c r="AR25" s="27">
        <v>95.5</v>
      </c>
      <c r="AS25" s="163"/>
      <c r="BE25" s="293">
        <v>131.95833333333334</v>
      </c>
      <c r="BF25" s="293">
        <v>145.23750000000001</v>
      </c>
      <c r="BG25" s="293">
        <v>262.59083270000002</v>
      </c>
      <c r="BH25" s="293">
        <v>281.5360325916667</v>
      </c>
    </row>
    <row r="26" spans="2:60" ht="15" x14ac:dyDescent="0.2">
      <c r="B26" s="31"/>
      <c r="C26" s="288" t="s">
        <v>142</v>
      </c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94"/>
      <c r="P26" s="289"/>
      <c r="Q26" s="289"/>
      <c r="R26" s="289"/>
      <c r="S26" s="289"/>
      <c r="T26" s="289"/>
      <c r="U26" s="289"/>
      <c r="V26" s="289"/>
      <c r="W26" s="289"/>
      <c r="X26" s="294"/>
      <c r="Y26" s="289"/>
      <c r="Z26" s="289"/>
      <c r="AA26" s="289"/>
      <c r="AB26" s="289"/>
      <c r="AC26" s="289"/>
      <c r="AD26" s="289"/>
      <c r="AE26" s="294"/>
      <c r="AF26" s="295"/>
      <c r="AG26" s="291">
        <v>9231.6666666666679</v>
      </c>
      <c r="AH26" s="292">
        <v>13.374166666666667</v>
      </c>
      <c r="AI26" s="292">
        <v>22.571666666666669</v>
      </c>
      <c r="AJ26" s="226">
        <v>168.95699999999999</v>
      </c>
      <c r="AK26" s="293">
        <v>156.92750000000001</v>
      </c>
      <c r="AL26" s="293">
        <v>156.92750000000001</v>
      </c>
      <c r="AM26" s="293">
        <v>198.2</v>
      </c>
      <c r="AN26" s="293">
        <v>181.3</v>
      </c>
      <c r="AO26" s="293">
        <v>203.7</v>
      </c>
      <c r="AP26" s="293">
        <v>277.60000000000002</v>
      </c>
      <c r="AR26" s="27">
        <v>1113.5999999999999</v>
      </c>
      <c r="AS26" s="163"/>
      <c r="BE26" s="293">
        <v>393.42416666666668</v>
      </c>
      <c r="BF26" s="293">
        <v>183.08252999999999</v>
      </c>
      <c r="BG26" s="293">
        <v>264.23245951666667</v>
      </c>
      <c r="BH26" s="293">
        <v>301.12977175000003</v>
      </c>
    </row>
    <row r="27" spans="2:60" ht="15" x14ac:dyDescent="0.2">
      <c r="B27" s="31"/>
      <c r="C27" s="284" t="s">
        <v>103</v>
      </c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68"/>
      <c r="Y27" s="156"/>
      <c r="Z27" s="156"/>
      <c r="AA27" s="156"/>
      <c r="AB27" s="156"/>
      <c r="AC27" s="156"/>
      <c r="AD27" s="156"/>
      <c r="AE27" s="156"/>
      <c r="AF27" s="156"/>
      <c r="AG27" s="280">
        <v>40407.5</v>
      </c>
      <c r="AH27" s="281">
        <v>42.649166666666673</v>
      </c>
      <c r="AI27" s="281">
        <v>92.868333333333339</v>
      </c>
      <c r="AJ27" s="281">
        <v>46.75</v>
      </c>
      <c r="AK27" s="297">
        <v>41.119166666666672</v>
      </c>
      <c r="AL27" s="297">
        <v>41.119166666666672</v>
      </c>
      <c r="AM27" s="297">
        <v>31.8</v>
      </c>
      <c r="AN27" s="297">
        <v>102.9</v>
      </c>
      <c r="AO27" s="297">
        <v>112.2</v>
      </c>
      <c r="AP27" s="297">
        <v>137.6</v>
      </c>
      <c r="AQ27" s="283" t="e">
        <f>#REF!/#REF!*100</f>
        <v>#REF!</v>
      </c>
      <c r="AR27" s="27">
        <v>460.6</v>
      </c>
      <c r="AS27" s="163"/>
      <c r="BE27" s="297">
        <v>60.667500000000004</v>
      </c>
      <c r="BF27" s="297">
        <v>43.363333333333337</v>
      </c>
      <c r="BG27" s="297">
        <v>33.498452041666667</v>
      </c>
      <c r="BH27" s="297">
        <v>28.787913150000001</v>
      </c>
    </row>
    <row r="28" spans="2:60" ht="15" x14ac:dyDescent="0.2">
      <c r="B28" s="31"/>
      <c r="C28" s="282" t="s">
        <v>104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31"/>
      <c r="Y28" s="156"/>
      <c r="Z28" s="156"/>
      <c r="AA28" s="156"/>
      <c r="AB28" s="156"/>
      <c r="AC28" s="156"/>
      <c r="AD28" s="156"/>
      <c r="AE28" s="31"/>
      <c r="AF28" s="285"/>
      <c r="AG28" s="298">
        <f>SUM(AG29:AG32)</f>
        <v>1484710.8333333335</v>
      </c>
      <c r="AH28" s="299">
        <f t="shared" ref="AH28:AO28" si="12">SUM(AH29:AH32)</f>
        <v>1626.6591666666668</v>
      </c>
      <c r="AI28" s="299">
        <f t="shared" si="12"/>
        <v>1679.2958333333336</v>
      </c>
      <c r="AJ28" s="299">
        <f t="shared" si="12"/>
        <v>1716.2240000000002</v>
      </c>
      <c r="AK28" s="299">
        <f t="shared" si="12"/>
        <v>1853.7058333333334</v>
      </c>
      <c r="AL28" s="299">
        <f t="shared" si="12"/>
        <v>1853.7058333333334</v>
      </c>
      <c r="AM28" s="299">
        <f t="shared" si="12"/>
        <v>1797.8999999999999</v>
      </c>
      <c r="AN28" s="299">
        <f t="shared" si="12"/>
        <v>1821.6000000000001</v>
      </c>
      <c r="AO28" s="299">
        <f t="shared" si="12"/>
        <v>1843.1</v>
      </c>
      <c r="AP28" s="299">
        <f>SUM(AP29:AP32)</f>
        <v>1882.6000000000001</v>
      </c>
      <c r="AR28" s="27">
        <v>653</v>
      </c>
      <c r="AS28" s="163"/>
      <c r="BE28" s="299">
        <f>SUM(BE29:BE32)</f>
        <v>1992.5083333333332</v>
      </c>
      <c r="BF28" s="299">
        <v>2063.0541666666663</v>
      </c>
      <c r="BG28" s="299">
        <v>2068.7963902333336</v>
      </c>
      <c r="BH28" s="299">
        <v>2139.1247370833335</v>
      </c>
    </row>
    <row r="29" spans="2:60" ht="15" x14ac:dyDescent="0.2">
      <c r="B29" s="31"/>
      <c r="C29" s="300" t="s">
        <v>145</v>
      </c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90"/>
      <c r="Y29" s="289"/>
      <c r="Z29" s="289"/>
      <c r="AA29" s="289"/>
      <c r="AB29" s="289"/>
      <c r="AC29" s="289"/>
      <c r="AD29" s="289"/>
      <c r="AE29" s="289"/>
      <c r="AF29" s="289"/>
      <c r="AG29" s="291">
        <v>1295803.3333333335</v>
      </c>
      <c r="AH29" s="292">
        <v>1375.6016666666667</v>
      </c>
      <c r="AI29" s="292">
        <v>1458.5491666666667</v>
      </c>
      <c r="AJ29" s="169">
        <v>1487.1369999999999</v>
      </c>
      <c r="AK29" s="293">
        <v>1540.905</v>
      </c>
      <c r="AL29" s="293">
        <v>1540.905</v>
      </c>
      <c r="AM29" s="293">
        <v>1537.6</v>
      </c>
      <c r="AN29" s="293">
        <v>1524.9</v>
      </c>
      <c r="AO29" s="293">
        <v>1553.6</v>
      </c>
      <c r="AP29" s="293">
        <v>1600.9</v>
      </c>
      <c r="AQ29" s="283" t="e">
        <f>#REF!/#REF!*100</f>
        <v>#REF!</v>
      </c>
      <c r="AR29" s="27">
        <v>3723.3</v>
      </c>
      <c r="AS29" s="163"/>
      <c r="BE29" s="293">
        <v>1719.8025</v>
      </c>
      <c r="BF29" s="293">
        <v>1780.87</v>
      </c>
      <c r="BG29" s="293">
        <v>1771.7945144833334</v>
      </c>
      <c r="BH29" s="293">
        <v>1887.7916992500002</v>
      </c>
    </row>
    <row r="30" spans="2:60" ht="15" x14ac:dyDescent="0.2">
      <c r="B30" s="31"/>
      <c r="C30" s="300" t="s">
        <v>143</v>
      </c>
      <c r="D30" s="294"/>
      <c r="E30" s="294"/>
      <c r="F30" s="294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90"/>
      <c r="Y30" s="294"/>
      <c r="Z30" s="294"/>
      <c r="AA30" s="294"/>
      <c r="AB30" s="294"/>
      <c r="AC30" s="289"/>
      <c r="AD30" s="289"/>
      <c r="AE30" s="294"/>
      <c r="AF30" s="294"/>
      <c r="AG30" s="291">
        <v>43964.166666666672</v>
      </c>
      <c r="AH30" s="292">
        <v>70.22</v>
      </c>
      <c r="AI30" s="292">
        <v>49.808333333333337</v>
      </c>
      <c r="AJ30" s="169">
        <v>36.786999999999999</v>
      </c>
      <c r="AK30" s="293">
        <v>33.033333333333339</v>
      </c>
      <c r="AL30" s="293">
        <v>33.033333333333339</v>
      </c>
      <c r="AM30" s="293">
        <v>30.6</v>
      </c>
      <c r="AN30" s="293">
        <v>34.200000000000003</v>
      </c>
      <c r="AO30" s="293">
        <v>41.2</v>
      </c>
      <c r="AP30" s="293">
        <v>45.8</v>
      </c>
      <c r="AR30" s="27">
        <v>3382</v>
      </c>
      <c r="AS30" s="163"/>
      <c r="BE30" s="293">
        <v>50.454999999999998</v>
      </c>
      <c r="BF30" s="293">
        <v>61.086666666666673</v>
      </c>
      <c r="BG30" s="293">
        <v>57.282551716666667</v>
      </c>
      <c r="BH30" s="293">
        <v>58.786392541666672</v>
      </c>
    </row>
    <row r="31" spans="2:60" ht="15.75" x14ac:dyDescent="0.25">
      <c r="B31" s="31"/>
      <c r="C31" s="300" t="s">
        <v>144</v>
      </c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291">
        <v>1655</v>
      </c>
      <c r="AH31" s="292">
        <v>3.1716666666666669</v>
      </c>
      <c r="AI31" s="292">
        <v>4.6733333333333338</v>
      </c>
      <c r="AJ31" s="169">
        <v>4.4859999999999998</v>
      </c>
      <c r="AK31" s="293">
        <v>4.2858333333333336</v>
      </c>
      <c r="AL31" s="293">
        <v>4.2858333333333336</v>
      </c>
      <c r="AM31" s="293">
        <v>5.2</v>
      </c>
      <c r="AN31" s="293">
        <v>6</v>
      </c>
      <c r="AO31" s="293">
        <v>6.3</v>
      </c>
      <c r="AP31" s="293">
        <v>5.9</v>
      </c>
      <c r="AQ31" s="283" t="e">
        <f>SUM(AQ13:AQ29)</f>
        <v>#REF!</v>
      </c>
      <c r="AR31" s="170"/>
      <c r="AS31" s="163"/>
      <c r="BE31" s="293">
        <v>6.3816666666666668</v>
      </c>
      <c r="BF31" s="293">
        <v>5.8358333333333343</v>
      </c>
      <c r="BG31" s="293">
        <v>4.6762075083333325</v>
      </c>
      <c r="BH31" s="293">
        <v>4.1652639083333334</v>
      </c>
    </row>
    <row r="32" spans="2:60" ht="15.75" x14ac:dyDescent="0.25">
      <c r="B32" s="31"/>
      <c r="C32" s="300" t="s">
        <v>116</v>
      </c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291">
        <v>143288.33333333334</v>
      </c>
      <c r="AH32" s="292">
        <v>177.66583333333335</v>
      </c>
      <c r="AI32" s="292">
        <v>166.26499999999999</v>
      </c>
      <c r="AJ32" s="169">
        <v>187.81399999999999</v>
      </c>
      <c r="AK32" s="293">
        <v>275.48166666666668</v>
      </c>
      <c r="AL32" s="293">
        <v>275.48166666666668</v>
      </c>
      <c r="AM32" s="293">
        <v>224.5</v>
      </c>
      <c r="AN32" s="293">
        <v>256.5</v>
      </c>
      <c r="AO32" s="293">
        <v>242</v>
      </c>
      <c r="AP32" s="293">
        <v>230</v>
      </c>
      <c r="AQ32" s="283"/>
      <c r="AR32" s="170"/>
      <c r="AS32" s="163"/>
      <c r="BE32" s="293">
        <v>215.86916666666667</v>
      </c>
      <c r="BF32" s="293">
        <v>215.26166666666668</v>
      </c>
      <c r="BG32" s="293">
        <v>235.04311652499999</v>
      </c>
      <c r="BH32" s="293">
        <v>188.38138138333332</v>
      </c>
    </row>
    <row r="33" spans="2:60" ht="15.75" x14ac:dyDescent="0.25">
      <c r="B33" s="31"/>
      <c r="C33" s="302" t="s">
        <v>135</v>
      </c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5">
        <v>45.833333333333336</v>
      </c>
      <c r="AH33" s="306">
        <v>0.21</v>
      </c>
      <c r="AI33" s="306">
        <v>0.4366666666666667</v>
      </c>
      <c r="AJ33" s="306">
        <v>0.188</v>
      </c>
      <c r="AK33" s="307">
        <v>7.4166666666666672E-2</v>
      </c>
      <c r="AL33" s="307">
        <v>7.4166666666666672E-2</v>
      </c>
      <c r="AM33" s="308" t="s">
        <v>188</v>
      </c>
      <c r="AN33" s="308">
        <v>16.3</v>
      </c>
      <c r="AO33" s="308">
        <v>14.3</v>
      </c>
      <c r="AP33" s="308">
        <v>18.7</v>
      </c>
      <c r="AQ33" s="283"/>
      <c r="AR33" s="170"/>
      <c r="AS33" s="163"/>
      <c r="BE33" s="308">
        <v>73.604166666666671</v>
      </c>
      <c r="BF33" s="308">
        <v>78.623333333333349</v>
      </c>
      <c r="BG33" s="308">
        <v>18.598865</v>
      </c>
      <c r="BH33" s="308">
        <v>21.121506158333336</v>
      </c>
    </row>
    <row r="34" spans="2:60" ht="15.75" x14ac:dyDescent="0.25">
      <c r="B34" s="31"/>
      <c r="C34" s="309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280"/>
      <c r="AH34" s="280"/>
      <c r="AI34" s="280"/>
      <c r="AJ34" s="311"/>
      <c r="AK34" s="312"/>
      <c r="AL34" s="311"/>
      <c r="AM34" s="303"/>
      <c r="AN34" s="303"/>
      <c r="AO34" s="303"/>
      <c r="AP34" s="303"/>
      <c r="AQ34" s="283"/>
      <c r="AR34" s="170"/>
      <c r="AS34" s="163"/>
    </row>
    <row r="35" spans="2:60" x14ac:dyDescent="0.2">
      <c r="B35" s="155"/>
      <c r="C35" s="152" t="s">
        <v>78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31"/>
      <c r="AE35" s="31"/>
      <c r="AF35" s="31"/>
      <c r="AG35" s="31"/>
      <c r="AH35" s="171"/>
      <c r="AI35" s="171"/>
      <c r="AJ35" s="171"/>
      <c r="AK35" s="171"/>
      <c r="AL35" s="171"/>
      <c r="AM35" s="171"/>
      <c r="AN35" s="130"/>
      <c r="AO35" s="130"/>
      <c r="AP35" s="130"/>
    </row>
    <row r="36" spans="2:60" ht="14.25" x14ac:dyDescent="0.2">
      <c r="B36" s="172"/>
      <c r="C36" s="130" t="s">
        <v>146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168"/>
      <c r="AH36" s="171"/>
      <c r="AI36" s="171"/>
      <c r="AJ36" s="171"/>
      <c r="AK36" s="171"/>
      <c r="AL36" s="171"/>
      <c r="AM36" s="171"/>
      <c r="AN36" s="130"/>
      <c r="AO36" s="130"/>
      <c r="AP36" s="130"/>
    </row>
    <row r="37" spans="2:60" ht="14.25" x14ac:dyDescent="0.2">
      <c r="B37" s="172"/>
      <c r="C37" s="313" t="s">
        <v>166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168"/>
      <c r="AH37" s="171"/>
      <c r="AI37" s="171"/>
      <c r="AJ37" s="171"/>
      <c r="AK37" s="171"/>
      <c r="AL37" s="171"/>
      <c r="AM37" s="171"/>
      <c r="AN37" s="130"/>
      <c r="AO37" s="130"/>
      <c r="AP37" s="130"/>
    </row>
    <row r="38" spans="2:60" ht="14.25" x14ac:dyDescent="0.2">
      <c r="B38" s="172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"/>
      <c r="AB38" s="31"/>
      <c r="AC38" s="31"/>
      <c r="AD38" s="31"/>
      <c r="AE38" s="31"/>
      <c r="AF38" s="31"/>
      <c r="AG38" s="168"/>
      <c r="AH38" s="171"/>
      <c r="AI38" s="171"/>
      <c r="AJ38" s="171"/>
      <c r="AK38" s="171"/>
      <c r="AL38" s="171"/>
      <c r="AM38" s="171"/>
      <c r="AN38" s="130"/>
      <c r="AO38" s="130"/>
      <c r="AP38" s="130"/>
    </row>
    <row r="39" spans="2:60" x14ac:dyDescent="0.2">
      <c r="C39" s="130" t="s">
        <v>234</v>
      </c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315"/>
      <c r="AH39" s="171"/>
      <c r="AI39" s="171"/>
      <c r="AJ39" s="171"/>
      <c r="AK39" s="171"/>
      <c r="AL39" s="171"/>
      <c r="AM39" s="171"/>
      <c r="AN39" s="130"/>
      <c r="AO39" s="130"/>
      <c r="AP39" s="130"/>
    </row>
    <row r="40" spans="2:60" ht="15" x14ac:dyDescent="0.2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171"/>
      <c r="AI40" s="171"/>
      <c r="AJ40" s="171"/>
      <c r="AK40" s="171"/>
      <c r="AL40" s="171"/>
      <c r="AM40" s="171"/>
    </row>
    <row r="41" spans="2:60" ht="15" x14ac:dyDescent="0.2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173"/>
      <c r="AH41" s="171"/>
      <c r="AI41" s="171"/>
      <c r="AJ41" s="171"/>
      <c r="AK41" s="171"/>
      <c r="AL41" s="171"/>
      <c r="AM41" s="171"/>
      <c r="AR41" s="29" t="s">
        <v>14</v>
      </c>
      <c r="AS41" s="174">
        <v>0.16207199310595893</v>
      </c>
      <c r="AT41" s="163">
        <f t="shared" ref="AT41:AT48" si="13">AS41/AS$50*100</f>
        <v>0.14315107475954672</v>
      </c>
    </row>
    <row r="42" spans="2:60" ht="15" x14ac:dyDescent="0.2"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171"/>
      <c r="AI42" s="171"/>
      <c r="AJ42" s="171"/>
      <c r="AK42" s="171"/>
      <c r="AL42" s="171"/>
      <c r="AM42" s="171"/>
      <c r="AR42" s="29" t="s">
        <v>15</v>
      </c>
      <c r="AS42" s="174">
        <v>2.660142828343842</v>
      </c>
      <c r="AT42" s="163">
        <f t="shared" si="13"/>
        <v>2.3495873506186946</v>
      </c>
    </row>
    <row r="43" spans="2:60" ht="15" x14ac:dyDescent="0.2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171"/>
      <c r="AI43" s="171"/>
      <c r="AJ43" s="171"/>
      <c r="AK43" s="171"/>
      <c r="AL43" s="171"/>
      <c r="AM43" s="171"/>
      <c r="AR43" s="29" t="s">
        <v>16</v>
      </c>
      <c r="AS43" s="174">
        <v>2.5443560208032268</v>
      </c>
      <c r="AT43" s="163">
        <f t="shared" si="13"/>
        <v>2.2473179478380456</v>
      </c>
    </row>
    <row r="44" spans="2:60" ht="15" x14ac:dyDescent="0.2"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171"/>
      <c r="AI44" s="171"/>
      <c r="AJ44" s="171"/>
      <c r="AK44" s="171"/>
      <c r="AL44" s="171"/>
      <c r="AM44" s="171"/>
      <c r="AR44" s="29" t="s">
        <v>17</v>
      </c>
      <c r="AS44" s="174">
        <v>0.57472495094937048</v>
      </c>
      <c r="AT44" s="163">
        <f t="shared" si="13"/>
        <v>0.50762931239910336</v>
      </c>
    </row>
    <row r="45" spans="2:60" ht="15" x14ac:dyDescent="0.2"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171"/>
      <c r="AI45" s="171"/>
      <c r="AJ45" s="171"/>
      <c r="AK45" s="171"/>
      <c r="AL45" s="171"/>
      <c r="AM45" s="171"/>
      <c r="AR45" s="29" t="s">
        <v>18</v>
      </c>
      <c r="AS45" s="174">
        <v>0.52117355246183572</v>
      </c>
      <c r="AT45" s="163">
        <f t="shared" si="13"/>
        <v>0.46032971361305308</v>
      </c>
    </row>
    <row r="46" spans="2:60" ht="15" x14ac:dyDescent="0.2"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171"/>
      <c r="AI46" s="171"/>
      <c r="AJ46" s="171"/>
      <c r="AK46" s="171"/>
      <c r="AL46" s="171"/>
      <c r="AM46" s="171"/>
      <c r="AR46" s="29" t="s">
        <v>19</v>
      </c>
      <c r="AS46" s="174">
        <v>6.8709132167539364</v>
      </c>
      <c r="AT46" s="163">
        <f t="shared" si="13"/>
        <v>6.0687759353638562</v>
      </c>
    </row>
    <row r="47" spans="2:60" ht="15" x14ac:dyDescent="0.2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171"/>
      <c r="AI47" s="171"/>
      <c r="AJ47" s="171"/>
      <c r="AK47" s="171"/>
      <c r="AL47" s="171"/>
      <c r="AM47" s="171"/>
      <c r="AR47" s="29" t="s">
        <v>20</v>
      </c>
      <c r="AS47" s="174">
        <v>13.238463963940678</v>
      </c>
      <c r="AT47" s="163">
        <f t="shared" si="13"/>
        <v>11.692953904532192</v>
      </c>
    </row>
    <row r="48" spans="2:60" ht="15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171"/>
      <c r="AI48" s="171"/>
      <c r="AJ48" s="171"/>
      <c r="AK48" s="171"/>
      <c r="AL48" s="171"/>
      <c r="AM48" s="171"/>
      <c r="AR48" s="29" t="s">
        <v>21</v>
      </c>
      <c r="AS48" s="174">
        <v>86.645601109430132</v>
      </c>
      <c r="AT48" s="163">
        <f t="shared" si="13"/>
        <v>76.530254760875522</v>
      </c>
    </row>
    <row r="49" spans="3:53" ht="15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171"/>
      <c r="AI49" s="171"/>
      <c r="AJ49" s="171"/>
      <c r="AK49" s="171"/>
      <c r="AL49" s="171"/>
      <c r="AM49" s="171"/>
    </row>
    <row r="50" spans="3:53" ht="15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171"/>
      <c r="AI50" s="171"/>
      <c r="AJ50" s="171"/>
      <c r="AK50" s="171"/>
      <c r="AL50" s="171"/>
      <c r="AM50" s="171"/>
      <c r="AS50" s="163">
        <f>SUM(AS41:AS48)</f>
        <v>113.21744763578897</v>
      </c>
    </row>
    <row r="51" spans="3:53" ht="15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171"/>
      <c r="AI51" s="171"/>
      <c r="AJ51" s="171"/>
      <c r="AK51" s="171"/>
      <c r="AL51" s="171"/>
      <c r="AM51" s="171"/>
    </row>
    <row r="52" spans="3:53" ht="15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171"/>
      <c r="AI52" s="171"/>
      <c r="AJ52" s="171"/>
      <c r="AK52" s="171"/>
      <c r="AL52" s="171"/>
      <c r="AM52" s="171"/>
    </row>
    <row r="53" spans="3:53" ht="15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171"/>
      <c r="AI53" s="171"/>
      <c r="AJ53" s="171"/>
      <c r="AK53" s="171"/>
      <c r="AL53" s="171"/>
      <c r="AM53" s="171"/>
    </row>
    <row r="54" spans="3:53" x14ac:dyDescent="0.2">
      <c r="AH54" s="31"/>
      <c r="AI54" s="31"/>
      <c r="AJ54" s="31"/>
      <c r="AK54" s="31"/>
      <c r="AL54" s="31"/>
      <c r="AM54" s="31"/>
    </row>
    <row r="56" spans="3:53" x14ac:dyDescent="0.2">
      <c r="Y56" s="17">
        <v>2007</v>
      </c>
      <c r="AR56" s="153">
        <v>2004</v>
      </c>
      <c r="AS56" s="153">
        <v>2005</v>
      </c>
      <c r="AT56" s="153">
        <v>2006</v>
      </c>
      <c r="AU56" s="153">
        <v>2007</v>
      </c>
      <c r="AW56" s="153">
        <v>2009</v>
      </c>
      <c r="AX56" s="153">
        <v>2009</v>
      </c>
      <c r="AY56" s="153">
        <v>2008</v>
      </c>
      <c r="AZ56" s="152">
        <v>2010</v>
      </c>
    </row>
    <row r="57" spans="3:53" x14ac:dyDescent="0.2">
      <c r="AR57" s="153"/>
      <c r="AS57" s="153"/>
      <c r="AT57" s="153"/>
      <c r="AU57" s="153"/>
    </row>
    <row r="58" spans="3:53" ht="15" x14ac:dyDescent="0.2">
      <c r="X58" s="27" t="s">
        <v>14</v>
      </c>
      <c r="Y58" s="163">
        <v>0.16207199310595893</v>
      </c>
      <c r="AQ58" s="31" t="s">
        <v>14</v>
      </c>
      <c r="AR58" s="156">
        <f>371/1.2</f>
        <v>309.16666666666669</v>
      </c>
      <c r="AS58" s="156">
        <f>476/1.2</f>
        <v>396.66666666666669</v>
      </c>
      <c r="AT58" s="156">
        <f>(2734+89)/1.2</f>
        <v>2352.5</v>
      </c>
      <c r="AU58" s="168">
        <v>3658</v>
      </c>
      <c r="AW58" s="162">
        <v>4731</v>
      </c>
      <c r="AX58" s="162">
        <v>4731</v>
      </c>
      <c r="AY58" s="169">
        <v>4968.3333333333339</v>
      </c>
      <c r="BA58" s="154">
        <f>+AW58/AW$68*100</f>
        <v>0.16649527964238883</v>
      </c>
    </row>
    <row r="59" spans="3:53" ht="15" x14ac:dyDescent="0.2">
      <c r="X59" s="27" t="s">
        <v>15</v>
      </c>
      <c r="Y59" s="163">
        <v>2.660142828343842</v>
      </c>
      <c r="AQ59" s="17" t="s">
        <v>15</v>
      </c>
      <c r="AR59" s="18">
        <v>83707</v>
      </c>
      <c r="AS59" s="18">
        <f>AF15</f>
        <v>0</v>
      </c>
      <c r="AT59" s="18" t="e">
        <f>#REF!</f>
        <v>#REF!</v>
      </c>
      <c r="AU59" s="18" t="e">
        <f>#REF!</f>
        <v>#REF!</v>
      </c>
      <c r="AW59" s="162">
        <v>130519</v>
      </c>
      <c r="AX59" s="162">
        <v>130519</v>
      </c>
      <c r="AY59" s="169">
        <v>78663.333333333343</v>
      </c>
      <c r="BA59" s="154">
        <f>+AW59/AW$68*100</f>
        <v>4.5932778278683042</v>
      </c>
    </row>
    <row r="60" spans="3:53" ht="15" x14ac:dyDescent="0.2">
      <c r="X60" s="27" t="s">
        <v>16</v>
      </c>
      <c r="Y60" s="163">
        <v>2.5443560208032268</v>
      </c>
      <c r="AQ60" s="17" t="str">
        <f>C18</f>
        <v>Construction</v>
      </c>
      <c r="AR60" s="18">
        <f>AE17</f>
        <v>0</v>
      </c>
      <c r="AS60" s="18">
        <f>AF17</f>
        <v>0</v>
      </c>
      <c r="AT60" s="18" t="e">
        <f>#REF!</f>
        <v>#REF!</v>
      </c>
      <c r="AU60" s="18" t="e">
        <f>#REF!</f>
        <v>#REF!</v>
      </c>
      <c r="AW60" s="162">
        <v>55213</v>
      </c>
      <c r="AX60" s="162">
        <v>55213</v>
      </c>
      <c r="AY60" s="169">
        <v>141180.83333333334</v>
      </c>
      <c r="BA60" s="154">
        <f t="shared" ref="BA60:BA66" si="14">+AW60/AW$68*100</f>
        <v>1.9430783924952895</v>
      </c>
    </row>
    <row r="61" spans="3:53" ht="15" x14ac:dyDescent="0.2">
      <c r="X61" s="27" t="s">
        <v>17</v>
      </c>
      <c r="Y61" s="163">
        <v>0.57472495094937048</v>
      </c>
      <c r="AQ61" s="17" t="str">
        <f>C19</f>
        <v>Services</v>
      </c>
      <c r="AR61" s="18">
        <f>AE19</f>
        <v>0</v>
      </c>
      <c r="AS61" s="18">
        <f>AF19</f>
        <v>0</v>
      </c>
      <c r="AT61" s="18" t="e">
        <f>#REF!</f>
        <v>#REF!</v>
      </c>
      <c r="AU61" s="18" t="e">
        <f>#REF!</f>
        <v>#REF!</v>
      </c>
      <c r="AW61" s="162">
        <v>24585</v>
      </c>
      <c r="AX61" s="162">
        <v>24585</v>
      </c>
      <c r="AY61" s="169">
        <v>26480.833333333336</v>
      </c>
      <c r="BA61" s="154">
        <f t="shared" si="14"/>
        <v>0.86520533713974401</v>
      </c>
    </row>
    <row r="62" spans="3:53" ht="15" x14ac:dyDescent="0.2">
      <c r="X62" s="27" t="s">
        <v>18</v>
      </c>
      <c r="Y62" s="163">
        <v>0.52117355246183572</v>
      </c>
      <c r="AQ62" s="17" t="str">
        <f>C21</f>
        <v>Transportation, storage &amp; communication</v>
      </c>
      <c r="AR62" s="18">
        <f>AE21</f>
        <v>0</v>
      </c>
      <c r="AS62" s="18">
        <f>AF21</f>
        <v>0</v>
      </c>
      <c r="AT62" s="18" t="e">
        <f>#REF!</f>
        <v>#REF!</v>
      </c>
      <c r="AU62" s="18" t="e">
        <f>#REF!</f>
        <v>#REF!</v>
      </c>
      <c r="AW62" s="162">
        <v>20560</v>
      </c>
      <c r="AX62" s="162">
        <v>20560</v>
      </c>
      <c r="AY62" s="169">
        <v>25693.333333333336</v>
      </c>
      <c r="BA62" s="154">
        <f t="shared" si="14"/>
        <v>0.7235558971565238</v>
      </c>
    </row>
    <row r="63" spans="3:53" ht="15" x14ac:dyDescent="0.2">
      <c r="X63" s="27" t="s">
        <v>19</v>
      </c>
      <c r="Y63" s="163">
        <v>6.8709132167539364</v>
      </c>
      <c r="AQ63" s="17" t="str">
        <f>C23</f>
        <v>Trade and Commerce</v>
      </c>
      <c r="AR63" s="18">
        <f>AE23</f>
        <v>0</v>
      </c>
      <c r="AS63" s="18">
        <f>AF23</f>
        <v>0</v>
      </c>
      <c r="AT63" s="18" t="e">
        <f>#REF!</f>
        <v>#REF!</v>
      </c>
      <c r="AU63" s="18" t="e">
        <f>#REF!</f>
        <v>#REF!</v>
      </c>
      <c r="AW63" s="162">
        <v>114909</v>
      </c>
      <c r="AX63" s="162">
        <v>114909</v>
      </c>
      <c r="AY63" s="169">
        <v>79899.166666666672</v>
      </c>
      <c r="BA63" s="154">
        <f t="shared" si="14"/>
        <v>4.0439243475855546</v>
      </c>
    </row>
    <row r="64" spans="3:53" ht="15" x14ac:dyDescent="0.2">
      <c r="X64" s="27" t="s">
        <v>20</v>
      </c>
      <c r="Y64" s="163">
        <v>13.238463963940678</v>
      </c>
      <c r="AQ64" s="17" t="str">
        <f>C25</f>
        <v>Real estate agents, rental and leasing companies</v>
      </c>
      <c r="AR64" s="18">
        <f>AE25</f>
        <v>0</v>
      </c>
      <c r="AS64" s="18">
        <f>AF25</f>
        <v>0</v>
      </c>
      <c r="AT64" s="18" t="e">
        <f>#REF!</f>
        <v>#REF!</v>
      </c>
      <c r="AU64" s="18" t="e">
        <f>#REF!</f>
        <v>#REF!</v>
      </c>
      <c r="AW64" s="162">
        <v>425876</v>
      </c>
      <c r="AX64" s="162">
        <v>425876</v>
      </c>
      <c r="AY64" s="169">
        <v>430313.33333333337</v>
      </c>
      <c r="BA64" s="154">
        <f t="shared" si="14"/>
        <v>14.98760171485563</v>
      </c>
    </row>
    <row r="65" spans="24:53" ht="15" x14ac:dyDescent="0.2">
      <c r="X65" s="27" t="s">
        <v>21</v>
      </c>
      <c r="Y65" s="163">
        <v>54.965356262271882</v>
      </c>
      <c r="AQ65" s="17" t="str">
        <f>C27</f>
        <v>Other Financial Corporations</v>
      </c>
      <c r="AR65" s="18">
        <f>AE27</f>
        <v>0</v>
      </c>
      <c r="AS65" s="18">
        <f>AF27</f>
        <v>0</v>
      </c>
      <c r="AT65" s="18" t="e">
        <f>#REF!</f>
        <v>#REF!</v>
      </c>
      <c r="AU65" s="18" t="e">
        <f>#REF!</f>
        <v>#REF!</v>
      </c>
      <c r="AW65" s="162">
        <v>1626629</v>
      </c>
      <c r="AX65" s="162">
        <v>1626629</v>
      </c>
      <c r="AY65" s="169">
        <v>1484710.8333333335</v>
      </c>
      <c r="BA65" s="154">
        <f t="shared" si="14"/>
        <v>57.244990536761641</v>
      </c>
    </row>
    <row r="66" spans="24:53" ht="15" x14ac:dyDescent="0.2">
      <c r="X66" s="27" t="s">
        <v>22</v>
      </c>
      <c r="Y66" s="163">
        <v>18.462797211369264</v>
      </c>
      <c r="AQ66" s="17" t="s">
        <v>22</v>
      </c>
      <c r="AR66" s="156">
        <v>771635</v>
      </c>
      <c r="AS66" s="156">
        <v>508361</v>
      </c>
      <c r="AT66" s="156">
        <v>439850</v>
      </c>
      <c r="AU66" s="168">
        <v>416709.33333333349</v>
      </c>
      <c r="AW66" s="156">
        <f>433769+4731</f>
        <v>438500</v>
      </c>
      <c r="AX66" s="156">
        <v>433769</v>
      </c>
      <c r="AY66" s="169">
        <v>496190.83333333331</v>
      </c>
      <c r="BA66" s="154">
        <f t="shared" si="14"/>
        <v>15.431870666494929</v>
      </c>
    </row>
    <row r="67" spans="24:53" ht="15" x14ac:dyDescent="0.2">
      <c r="X67" s="27"/>
      <c r="Y67" s="163"/>
      <c r="AW67" s="162"/>
      <c r="AX67" s="162"/>
      <c r="AY67" s="169"/>
    </row>
    <row r="68" spans="24:53" ht="15.75" x14ac:dyDescent="0.25">
      <c r="X68" s="170"/>
      <c r="Y68" s="163"/>
      <c r="AR68" s="18">
        <f t="shared" ref="AR68:AX68" si="15">SUM(AR58:AR66)</f>
        <v>855651.16666666663</v>
      </c>
      <c r="AS68" s="18">
        <f t="shared" si="15"/>
        <v>508757.66666666669</v>
      </c>
      <c r="AT68" s="18" t="e">
        <f t="shared" si="15"/>
        <v>#REF!</v>
      </c>
      <c r="AU68" s="18" t="e">
        <f t="shared" si="15"/>
        <v>#REF!</v>
      </c>
      <c r="AV68" s="18">
        <f t="shared" si="15"/>
        <v>0</v>
      </c>
      <c r="AW68" s="18">
        <f>SUM(AW58:AW66)</f>
        <v>2841522</v>
      </c>
      <c r="AX68" s="18">
        <f t="shared" si="15"/>
        <v>2836791</v>
      </c>
      <c r="AY68" s="169">
        <v>2768100.8333333335</v>
      </c>
      <c r="BA68" s="154">
        <f>+AW68/AW$68*100</f>
        <v>100</v>
      </c>
    </row>
    <row r="69" spans="24:53" x14ac:dyDescent="0.2">
      <c r="AX69" s="162"/>
    </row>
    <row r="70" spans="24:53" x14ac:dyDescent="0.2">
      <c r="AR70" s="162">
        <v>2105657.166666667</v>
      </c>
      <c r="AS70" s="162">
        <v>1949248.5</v>
      </c>
      <c r="AT70" s="162">
        <v>2127312.5</v>
      </c>
      <c r="AU70" s="162">
        <v>2257021.6666666698</v>
      </c>
      <c r="AX70" s="175">
        <f>SUM(AX54:AX67)</f>
        <v>2838800</v>
      </c>
    </row>
    <row r="71" spans="24:53" x14ac:dyDescent="0.2">
      <c r="AX71" s="162"/>
    </row>
    <row r="73" spans="24:53" x14ac:dyDescent="0.2">
      <c r="AX73" s="162"/>
    </row>
    <row r="76" spans="24:53" x14ac:dyDescent="0.2">
      <c r="AX76" s="175">
        <f>SUM(AX58:AX73)</f>
        <v>8512382</v>
      </c>
    </row>
  </sheetData>
  <mergeCells count="2">
    <mergeCell ref="AE4:AK4"/>
    <mergeCell ref="C7:AP7"/>
  </mergeCells>
  <phoneticPr fontId="30" type="noConversion"/>
  <printOptions horizontalCentered="1"/>
  <pageMargins left="0.9" right="0.9" top="1" bottom="1" header="0.5" footer="0.24"/>
  <pageSetup scale="54" orientation="portrait" r:id="rId1"/>
  <headerFooter alignWithMargins="0"/>
  <ignoredErrors>
    <ignoredError sqref="AG28 AG23 AH23:AP28 BE23 BE28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396289" r:id="rId4">
          <objectPr defaultSize="0" autoPict="0" r:id="rId5">
            <anchor moveWithCells="1" sizeWithCells="1">
              <from>
                <xdr:col>2</xdr:col>
                <xdr:colOff>352425</xdr:colOff>
                <xdr:row>0</xdr:row>
                <xdr:rowOff>66675</xdr:rowOff>
              </from>
              <to>
                <xdr:col>2</xdr:col>
                <xdr:colOff>1219200</xdr:colOff>
                <xdr:row>2</xdr:row>
                <xdr:rowOff>104775</xdr:rowOff>
              </to>
            </anchor>
          </objectPr>
        </oleObject>
      </mc:Choice>
      <mc:Fallback>
        <oleObject progId="MSPhotoEd.3" shapeId="39628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.01</vt:lpstr>
      <vt:lpstr>.02</vt:lpstr>
      <vt:lpstr>.03a</vt:lpstr>
      <vt:lpstr>.03b</vt:lpstr>
      <vt:lpstr>.03c</vt:lpstr>
      <vt:lpstr>.04</vt:lpstr>
      <vt:lpstr>.03 delete</vt:lpstr>
      <vt:lpstr>.04 delete</vt:lpstr>
      <vt:lpstr>.05</vt:lpstr>
      <vt:lpstr>.06</vt:lpstr>
      <vt:lpstr>.07</vt:lpstr>
      <vt:lpstr>.08</vt:lpstr>
      <vt:lpstr>.09</vt:lpstr>
      <vt:lpstr>.10</vt:lpstr>
      <vt:lpstr>.10 delete</vt:lpstr>
      <vt:lpstr>.11</vt:lpstr>
      <vt:lpstr>.12 &amp; .13</vt:lpstr>
      <vt:lpstr>footer</vt:lpstr>
      <vt:lpstr>'.01'!Print_Area</vt:lpstr>
      <vt:lpstr>'.02'!Print_Area</vt:lpstr>
      <vt:lpstr>'.03 delete'!Print_Area</vt:lpstr>
      <vt:lpstr>'.03a'!Print_Area</vt:lpstr>
      <vt:lpstr>'.03b'!Print_Area</vt:lpstr>
      <vt:lpstr>'.03c'!Print_Area</vt:lpstr>
      <vt:lpstr>'.04'!Print_Area</vt:lpstr>
      <vt:lpstr>'.04 delete'!Print_Area</vt:lpstr>
      <vt:lpstr>'.05'!Print_Area</vt:lpstr>
      <vt:lpstr>'.06'!Print_Area</vt:lpstr>
      <vt:lpstr>'.07'!Print_Area</vt:lpstr>
      <vt:lpstr>'.08'!Print_Area</vt:lpstr>
      <vt:lpstr>'.09'!Print_Area</vt:lpstr>
      <vt:lpstr>'.10 delete'!Print_Area</vt:lpstr>
      <vt:lpstr>'.11'!Print_Area</vt:lpstr>
      <vt:lpstr>'.12 &amp; .13'!Print_Area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Financial Services</dc:subject>
  <dc:creator>Economics &amp; Statistics Office</dc:creator>
  <cp:lastModifiedBy>Ebanks, Narnia</cp:lastModifiedBy>
  <cp:lastPrinted>2017-06-12T20:11:28Z</cp:lastPrinted>
  <dcterms:created xsi:type="dcterms:W3CDTF">2008-03-05T14:18:27Z</dcterms:created>
  <dcterms:modified xsi:type="dcterms:W3CDTF">2021-09-24T19:23:31Z</dcterms:modified>
</cp:coreProperties>
</file>